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U2KSP9Q\Users\Public\Downloads\Менеджер по продажам\Звукоизоляция\Прайс\"/>
    </mc:Choice>
  </mc:AlternateContent>
  <bookViews>
    <workbookView xWindow="0" yWindow="0" windowWidth="28800" windowHeight="12330" activeTab="3"/>
  </bookViews>
  <sheets>
    <sheet name="ЗИПы, мембрана, Тихо, баз.плиты" sheetId="1" r:id="rId1"/>
    <sheet name="Подрозетники, вибросил, профиля" sheetId="2" r:id="rId2"/>
    <sheet name="Подвесы, Sylomer SR" sheetId="3" r:id="rId3"/>
    <sheet name="Виброфлекс SM, ISOTOP" sheetId="4" r:id="rId4"/>
    <sheet name="SOUNDBOARD, HERADESIGN, и тд" sheetId="5" r:id="rId5"/>
    <sheet name="Саундлюкс, Саундлайн, Акуфон" sheetId="6" r:id="rId6"/>
    <sheet name="панели ECOPHON" sheetId="7" r:id="rId7"/>
    <sheet name="подвесная система ECOPHON" sheetId="8" r:id="rId8"/>
    <sheet name="Лист1" sheetId="9" r:id="rId9"/>
  </sheets>
  <calcPr calcId="162913"/>
</workbook>
</file>

<file path=xl/calcChain.xml><?xml version="1.0" encoding="utf-8"?>
<calcChain xmlns="http://schemas.openxmlformats.org/spreadsheetml/2006/main">
  <c r="E14" i="3" l="1"/>
  <c r="E15" i="3"/>
  <c r="E16" i="3"/>
  <c r="E19" i="3"/>
  <c r="D80" i="1"/>
  <c r="D81" i="1"/>
  <c r="D79" i="1"/>
  <c r="D68" i="2"/>
  <c r="D67" i="2"/>
  <c r="D66" i="2"/>
  <c r="D65" i="2"/>
  <c r="D64" i="2"/>
  <c r="D59" i="2"/>
  <c r="D58" i="2"/>
  <c r="D57" i="2"/>
  <c r="D56" i="2"/>
  <c r="D55" i="2"/>
  <c r="D54" i="2"/>
  <c r="D53" i="2"/>
  <c r="D52" i="2"/>
  <c r="D51" i="2"/>
  <c r="C56" i="2"/>
  <c r="C55" i="2"/>
  <c r="C54" i="2"/>
  <c r="C53" i="2"/>
  <c r="C52" i="2"/>
  <c r="C51" i="2"/>
  <c r="D49" i="2"/>
  <c r="D48" i="2"/>
  <c r="D35" i="2"/>
  <c r="D34" i="2"/>
  <c r="D33" i="2"/>
  <c r="D31" i="2"/>
  <c r="D30" i="2"/>
  <c r="D29" i="2"/>
  <c r="D27" i="2"/>
  <c r="D26" i="2"/>
  <c r="C35" i="2"/>
  <c r="C34" i="2"/>
  <c r="C33" i="2"/>
  <c r="C31" i="2"/>
  <c r="C30" i="2"/>
  <c r="C29" i="2"/>
  <c r="C27" i="2"/>
  <c r="C26" i="2"/>
  <c r="C38" i="2"/>
  <c r="C39" i="2"/>
  <c r="C40" i="2"/>
  <c r="C41" i="2"/>
  <c r="C42" i="2"/>
  <c r="C43" i="2"/>
  <c r="C44" i="2"/>
  <c r="C37" i="2"/>
  <c r="D15" i="2" l="1"/>
  <c r="D59" i="5"/>
  <c r="D58" i="5"/>
  <c r="D57" i="5"/>
  <c r="D56" i="5"/>
  <c r="D55" i="5"/>
  <c r="D53" i="5"/>
  <c r="D52" i="5"/>
  <c r="D51" i="5"/>
  <c r="D50" i="5"/>
  <c r="D49" i="5"/>
  <c r="D48" i="5"/>
  <c r="D47" i="5"/>
  <c r="D46" i="5"/>
  <c r="D45" i="5"/>
  <c r="D42" i="5"/>
  <c r="D41" i="5"/>
  <c r="D40" i="5"/>
  <c r="D39" i="5"/>
  <c r="D38" i="5"/>
  <c r="D37" i="5"/>
  <c r="D36" i="5"/>
  <c r="D34" i="5"/>
  <c r="D33" i="5"/>
  <c r="D32" i="5"/>
  <c r="D31" i="5"/>
  <c r="D30" i="5"/>
  <c r="D28" i="5"/>
  <c r="D27" i="5"/>
  <c r="D26" i="5"/>
  <c r="D25" i="5"/>
  <c r="D24" i="5"/>
  <c r="D23" i="5"/>
  <c r="D22" i="5"/>
  <c r="D18" i="5"/>
  <c r="D17" i="5"/>
  <c r="D16" i="5"/>
  <c r="D15" i="5"/>
  <c r="D14" i="5"/>
  <c r="D13" i="5"/>
  <c r="C58" i="5"/>
  <c r="C57" i="5"/>
  <c r="C56" i="5"/>
  <c r="C55" i="5"/>
  <c r="C42" i="5"/>
  <c r="C41" i="5"/>
  <c r="C40" i="5"/>
  <c r="C39" i="5"/>
  <c r="C38" i="5"/>
  <c r="C37" i="5"/>
  <c r="C36" i="5"/>
  <c r="C34" i="5"/>
  <c r="C33" i="5"/>
  <c r="C32" i="5"/>
  <c r="C31" i="5"/>
  <c r="C30" i="5"/>
  <c r="C28" i="5"/>
  <c r="C27" i="5"/>
  <c r="C26" i="5"/>
  <c r="C25" i="5"/>
  <c r="C24" i="5"/>
  <c r="C23" i="5"/>
  <c r="C22" i="5"/>
  <c r="C18" i="5"/>
  <c r="C17" i="5"/>
  <c r="C16" i="5"/>
  <c r="C15" i="5"/>
  <c r="C14" i="5"/>
  <c r="C13" i="5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1" i="7"/>
  <c r="C10" i="7"/>
  <c r="C9" i="7"/>
  <c r="D46" i="6"/>
  <c r="D43" i="6"/>
  <c r="D40" i="6"/>
  <c r="D39" i="6"/>
  <c r="D38" i="6"/>
  <c r="D37" i="6"/>
  <c r="D34" i="6"/>
  <c r="D29" i="6"/>
  <c r="D28" i="6"/>
  <c r="D27" i="6"/>
  <c r="D26" i="6"/>
  <c r="D14" i="6"/>
  <c r="D13" i="6"/>
  <c r="C46" i="6"/>
  <c r="C43" i="6"/>
  <c r="C34" i="6"/>
  <c r="C17" i="6"/>
  <c r="C15" i="6"/>
  <c r="C14" i="6"/>
  <c r="C13" i="6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D57" i="3"/>
  <c r="D56" i="3"/>
  <c r="D55" i="3"/>
  <c r="D54" i="3"/>
  <c r="D53" i="3"/>
  <c r="D52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E57" i="3"/>
  <c r="E56" i="3"/>
  <c r="E55" i="3"/>
  <c r="E54" i="3"/>
  <c r="E53" i="3"/>
  <c r="E52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27" i="3"/>
  <c r="E26" i="3"/>
  <c r="E25" i="3"/>
  <c r="E22" i="3"/>
  <c r="E21" i="3"/>
  <c r="E20" i="3"/>
  <c r="C19" i="2"/>
  <c r="D19" i="2"/>
  <c r="E61" i="1"/>
  <c r="E60" i="1"/>
  <c r="D61" i="1"/>
  <c r="D60" i="1"/>
  <c r="E58" i="1"/>
  <c r="E57" i="1"/>
  <c r="E56" i="1"/>
  <c r="E55" i="1"/>
  <c r="E54" i="1"/>
  <c r="E53" i="1"/>
  <c r="E52" i="1"/>
  <c r="E51" i="1"/>
  <c r="E50" i="1"/>
  <c r="E49" i="1"/>
  <c r="E47" i="1"/>
  <c r="D54" i="1"/>
  <c r="D53" i="1"/>
  <c r="D52" i="1"/>
  <c r="D51" i="1"/>
  <c r="D49" i="1"/>
  <c r="D47" i="1"/>
  <c r="E45" i="1"/>
  <c r="E44" i="1"/>
  <c r="E43" i="1"/>
  <c r="E42" i="1"/>
  <c r="D45" i="1"/>
  <c r="D44" i="1"/>
  <c r="D43" i="1"/>
  <c r="D42" i="1"/>
  <c r="E38" i="1"/>
  <c r="E37" i="1"/>
  <c r="E36" i="1"/>
  <c r="E35" i="1"/>
  <c r="E34" i="1"/>
  <c r="E33" i="1"/>
  <c r="D38" i="1"/>
  <c r="D37" i="1"/>
  <c r="D36" i="1"/>
  <c r="D35" i="1"/>
  <c r="D34" i="1"/>
  <c r="D33" i="1"/>
  <c r="E23" i="1"/>
  <c r="E22" i="1"/>
  <c r="E21" i="1"/>
  <c r="E20" i="1"/>
  <c r="E19" i="1"/>
  <c r="D23" i="1"/>
  <c r="D22" i="1"/>
  <c r="D21" i="1"/>
  <c r="D20" i="1"/>
  <c r="D19" i="1"/>
  <c r="D16" i="1"/>
  <c r="D14" i="1"/>
  <c r="D13" i="1"/>
  <c r="D12" i="1"/>
  <c r="D11" i="1"/>
  <c r="E16" i="1"/>
  <c r="E14" i="1"/>
  <c r="E13" i="1"/>
  <c r="E12" i="1"/>
  <c r="E11" i="1"/>
</calcChain>
</file>

<file path=xl/sharedStrings.xml><?xml version="1.0" encoding="utf-8"?>
<sst xmlns="http://schemas.openxmlformats.org/spreadsheetml/2006/main" count="1066" uniqueCount="417">
  <si>
    <r>
      <rPr>
        <b/>
        <sz val="14.5"/>
        <rFont val="Liberation Sans Narrow"/>
        <family val="2"/>
      </rPr>
      <t>МАТЕРИАЛЫ ДЛЯ ЗВУКОИЗОЛЯЦИОННЫХ КОНСТРУКЦИЙ</t>
    </r>
  </si>
  <si>
    <r>
      <rPr>
        <sz val="9.5"/>
        <rFont val="Liberation Sans Narrow"/>
        <family val="2"/>
      </rPr>
      <t>лист 1 из 2</t>
    </r>
  </si>
  <si>
    <r>
      <rPr>
        <b/>
        <sz val="9.5"/>
        <rFont val="Liberation Sans Narrow"/>
        <family val="2"/>
      </rPr>
      <t>Ед.изм.</t>
    </r>
  </si>
  <si>
    <r>
      <rPr>
        <b/>
        <sz val="9.5"/>
        <rFont val="Liberation Sans Narrow"/>
        <family val="2"/>
      </rPr>
      <t>Цена, руб./м2</t>
    </r>
  </si>
  <si>
    <r>
      <rPr>
        <b/>
        <sz val="9.5"/>
        <rFont val="Liberation Sans Narrow"/>
        <family val="2"/>
      </rPr>
      <t>Цена, руб./ед.</t>
    </r>
  </si>
  <si>
    <r>
      <rPr>
        <sz val="9.5"/>
        <rFont val="Liberation Sans Narrow"/>
        <family val="2"/>
      </rPr>
      <t>шт.</t>
    </r>
  </si>
  <si>
    <r>
      <rPr>
        <sz val="9.5"/>
        <rFont val="Liberation Sans Narrow"/>
        <family val="2"/>
      </rPr>
      <t>ЗИПС-Модуль, сэндвич-панель 1200х600х70 мм (0,72м2/шт.) с комплектом крепежа</t>
    </r>
  </si>
  <si>
    <r>
      <rPr>
        <sz val="9.5"/>
        <rFont val="Liberation Sans Narrow"/>
        <family val="2"/>
      </rPr>
      <t>ЗИПС-Синема, сэндвич-панель 1200х600х120 мм (0,72м2/шт.) с комплектом крепежа</t>
    </r>
  </si>
  <si>
    <r>
      <rPr>
        <sz val="9.5"/>
        <rFont val="Liberation Sans Narrow"/>
        <family val="2"/>
      </rPr>
      <t>ЗИПС-Z4, сэндвич-панель 1200х600х42,5 мм (0,72м2/шт.) с комплектом крепежа</t>
    </r>
  </si>
  <si>
    <r>
      <rPr>
        <b/>
        <sz val="9.5"/>
        <rFont val="Liberation Sans Narrow"/>
        <family val="2"/>
      </rPr>
      <t>Акустические минеральные плиты</t>
    </r>
  </si>
  <si>
    <r>
      <rPr>
        <sz val="9.5"/>
        <rFont val="Liberation Sans Narrow"/>
        <family val="2"/>
      </rPr>
      <t>Акулайт, минплита НГ, 1000х600х50мм, в упаковке 8шт. / 4,8м2 / 0,24м3</t>
    </r>
  </si>
  <si>
    <r>
      <rPr>
        <sz val="9.5"/>
        <rFont val="Liberation Sans Narrow"/>
        <family val="2"/>
      </rPr>
      <t>упак.</t>
    </r>
  </si>
  <si>
    <r>
      <rPr>
        <sz val="9.5"/>
        <rFont val="Liberation Sans Narrow"/>
        <family val="2"/>
      </rPr>
      <t>по запросу</t>
    </r>
  </si>
  <si>
    <r>
      <rPr>
        <sz val="9.5"/>
        <rFont val="Liberation Sans Narrow"/>
        <family val="2"/>
      </rPr>
      <t>-</t>
    </r>
  </si>
  <si>
    <r>
      <rPr>
        <sz val="9.5"/>
        <rFont val="Liberation Sans Narrow"/>
        <family val="2"/>
      </rPr>
      <t>Акулайт SE кварцевая плита 610x1170х50 мм, в упаковке 12шт / 8,56 м2/ 0,428 м3</t>
    </r>
  </si>
  <si>
    <r>
      <rPr>
        <sz val="9.5"/>
        <rFont val="Liberation Sans Narrow"/>
        <family val="2"/>
      </rPr>
      <t>Акулайт SE кварцевая плита 610x1170х75 мм, в упаковке 7шт / 4,99 м2 / 0,375 м3</t>
    </r>
  </si>
  <si>
    <r>
      <rPr>
        <sz val="9.5"/>
        <color rgb="FFFF0000"/>
        <rFont val="Liberation Sans Narrow"/>
        <family val="2"/>
      </rPr>
      <t>упак.</t>
    </r>
  </si>
  <si>
    <r>
      <rPr>
        <b/>
        <sz val="9.5"/>
        <rFont val="Liberation Sans Narrow"/>
        <family val="2"/>
      </rPr>
      <t>Виброизолирующие подвесы и крепления</t>
    </r>
  </si>
  <si>
    <r>
      <rPr>
        <sz val="9.5"/>
        <rFont val="Liberation Sans Narrow"/>
        <family val="2"/>
      </rPr>
      <t>Виброфлекс-К15, виброизолирующее крепление потолочное</t>
    </r>
  </si>
  <si>
    <r>
      <rPr>
        <sz val="9.5"/>
        <rFont val="Liberation Sans Narrow"/>
        <family val="2"/>
      </rPr>
      <t>Виброфлекс-КС, виброизолирующее крепление стеновое</t>
    </r>
  </si>
  <si>
    <r>
      <rPr>
        <sz val="9.5"/>
        <rFont val="Liberation Sans Narrow"/>
        <family val="2"/>
      </rPr>
      <t>Виброфлекс-коннект ПП для подвесных потолков</t>
    </r>
  </si>
  <si>
    <r>
      <rPr>
        <sz val="9.5"/>
        <rFont val="Liberation Sans Narrow"/>
        <family val="2"/>
      </rPr>
      <t>Виброфлекс-коннект ПС стеновой</t>
    </r>
  </si>
  <si>
    <r>
      <rPr>
        <sz val="9.5"/>
        <rFont val="Liberation Sans Narrow"/>
        <family val="2"/>
      </rPr>
      <t>Виброизолирующий подвес «УЛЬТРАКУСТИК»</t>
    </r>
  </si>
  <si>
    <r>
      <rPr>
        <b/>
        <sz val="9.5"/>
        <rFont val="Liberation Sans Narrow"/>
        <family val="2"/>
      </rPr>
      <t>Акустический ГКЛ/ГВЛ</t>
    </r>
  </si>
  <si>
    <r>
      <rPr>
        <sz val="9.5"/>
        <rFont val="Liberation Sans Narrow"/>
        <family val="2"/>
      </rPr>
      <t>Aku-Line ГКЛА Gyproc, лист 2500 х 1200 х 12,5 мм (3м2/лист; 48 листов/паллет)</t>
    </r>
  </si>
  <si>
    <r>
      <rPr>
        <sz val="9.5"/>
        <rFont val="Liberation Sans Narrow"/>
        <family val="2"/>
      </rPr>
      <t>Aku-Line ГКЛА Gyproc, лист 2000 х 1200 х 12,5 мм (2,4м2/лист ; 48 листов/паллет)</t>
    </r>
  </si>
  <si>
    <r>
      <rPr>
        <sz val="9.5"/>
        <rFont val="Liberation Sans Narrow"/>
        <family val="2"/>
      </rPr>
      <t>Aku-Line Pro ГКЛА Gyproc, лист 2500 х 1200 х 12,5 мм (3м2/лист; 48 листов/паллет)</t>
    </r>
  </si>
  <si>
    <r>
      <rPr>
        <sz val="9.5"/>
        <rFont val="Liberation Sans Narrow"/>
        <family val="2"/>
      </rPr>
      <t>Саундлайн-dB триплекс ГВЛВУ, лист 1200х1200х16,5мм (1,44м2/лист)</t>
    </r>
  </si>
  <si>
    <r>
      <rPr>
        <sz val="9.5"/>
        <rFont val="Liberation Sans Narrow"/>
        <family val="2"/>
      </rPr>
      <t>Кнауф –Акуборд ГКЛ ВПФ А ПЛУК 1500 х 1200 х 20 (34) (1,8 м2/лист)</t>
    </r>
  </si>
  <si>
    <r>
      <rPr>
        <b/>
        <sz val="9.5"/>
        <rFont val="Liberation Sans Narrow"/>
        <family val="2"/>
      </rPr>
      <t>Звукоизоляция пола от ударного шума</t>
    </r>
  </si>
  <si>
    <r>
      <rPr>
        <sz val="9.5"/>
        <rFont val="Liberation Sans Narrow"/>
        <family val="2"/>
      </rPr>
      <t>рулон.</t>
    </r>
  </si>
  <si>
    <r>
      <rPr>
        <sz val="9.5"/>
        <rFont val="Liberation Sans Narrow"/>
        <family val="2"/>
      </rPr>
      <t>Вибростек-V300, ширина рулона 1 м, толщина 4 мм</t>
    </r>
  </si>
  <si>
    <r>
      <rPr>
        <sz val="9.5"/>
        <rFont val="Liberation Sans Narrow"/>
        <family val="2"/>
      </rPr>
      <t>м.пог.</t>
    </r>
  </si>
  <si>
    <r>
      <rPr>
        <sz val="9.5"/>
        <color rgb="FFFF0000"/>
        <rFont val="Liberation Sans Narrow"/>
        <family val="2"/>
      </rPr>
      <t>Шуманет100-Гидро, Гидро-звукоизоляционный, рулон 10х1м, толщина 5мм</t>
    </r>
  </si>
  <si>
    <r>
      <rPr>
        <sz val="9.5"/>
        <color rgb="FFFF0000"/>
        <rFont val="Liberation Sans Narrow"/>
        <family val="2"/>
      </rPr>
      <t>рулон.</t>
    </r>
  </si>
  <si>
    <r>
      <rPr>
        <sz val="9.5"/>
        <color rgb="FFFF0000"/>
        <rFont val="Liberation Sans Narrow"/>
        <family val="2"/>
      </rPr>
      <t>Шуманет100-Комби, Звуко-гидроизоляционный, рулон 10х1м, толщина 5мм</t>
    </r>
  </si>
  <si>
    <r>
      <rPr>
        <b/>
        <sz val="9.5"/>
        <rFont val="Liberation Sans Narrow"/>
        <family val="2"/>
      </rPr>
      <t>Звукоизоляция пола от ударного и воздушного шума</t>
    </r>
  </si>
  <si>
    <r>
      <rPr>
        <sz val="9.5"/>
        <rFont val="Liberation Sans Narrow"/>
        <family val="2"/>
      </rPr>
      <t>Акуфлор-S20, стеклоплита НГ, 1200х600х20мм, в упак. 10шт. / 7,2м2 / 0,144м3</t>
    </r>
  </si>
  <si>
    <r>
      <rPr>
        <sz val="9.5"/>
        <color rgb="FFFF0000"/>
        <rFont val="Liberation Sans Narrow"/>
        <family val="2"/>
      </rPr>
      <t>Шумостоп-К2, минплита 1200х300х20, в упаковке 10шт. / 3,6м2 / 0,072м3</t>
    </r>
  </si>
  <si>
    <r>
      <rPr>
        <sz val="9.5"/>
        <rFont val="Liberation Sans Narrow"/>
        <family val="2"/>
      </rPr>
      <t>Шумостоп-техно 350, сэндвич-панель 1200х600х33мм (0,72м2/шт.)</t>
    </r>
  </si>
  <si>
    <r>
      <rPr>
        <sz val="9.5"/>
        <rFont val="Liberation Sans Narrow"/>
        <family val="2"/>
      </rPr>
      <t>Шумостоп-техно 600, сэндвич-панель 1200х600х33мм (0,72м2/шт.)</t>
    </r>
  </si>
  <si>
    <r>
      <rPr>
        <sz val="9.5"/>
        <rFont val="Liberation Sans Narrow"/>
        <family val="2"/>
      </rPr>
      <t>Шумостоп-техно 1200, сэндвич-панель 1200х600х33мм (0,72м2/шт.)</t>
    </r>
  </si>
  <si>
    <r>
      <rPr>
        <sz val="9.5"/>
        <rFont val="Liberation Sans Narrow"/>
        <family val="2"/>
      </rPr>
      <t>Шумопласт, гранулиров. смесь (10 м2/упак., для толщ. h=2 см)</t>
    </r>
  </si>
  <si>
    <r>
      <rPr>
        <sz val="9.5"/>
        <rFont val="Liberation Sans Narrow"/>
        <family val="2"/>
      </rPr>
      <t>Шумопласт-грунт, ведро 3кг</t>
    </r>
  </si>
  <si>
    <r>
      <rPr>
        <sz val="9.5"/>
        <rFont val="Liberation Sans Narrow"/>
        <family val="2"/>
      </rPr>
      <t>ведро</t>
    </r>
  </si>
  <si>
    <r>
      <rPr>
        <sz val="9.5"/>
        <rFont val="Liberation Sans Narrow"/>
        <family val="2"/>
      </rPr>
      <t>Шумопласт-грунт, ведро 8кг</t>
    </r>
  </si>
  <si>
    <r>
      <rPr>
        <sz val="9.5"/>
        <rFont val="Liberation Sans Narrow"/>
        <family val="2"/>
      </rPr>
      <t>Шумопласт-грунт, ведро 15кг</t>
    </r>
  </si>
  <si>
    <r>
      <rPr>
        <sz val="9.5"/>
        <rFont val="Liberation Sans Narrow"/>
        <family val="2"/>
      </rPr>
      <t>Полутерок ПУ-ТЕХ полиуретановый 120*1000 мм</t>
    </r>
  </si>
  <si>
    <r>
      <rPr>
        <b/>
        <sz val="9.5"/>
        <rFont val="Liberation Sans Narrow"/>
        <family val="2"/>
      </rPr>
      <t>Сборная звукоизолирующая панельная система ЗИПС-ПОЛ</t>
    </r>
  </si>
  <si>
    <r>
      <rPr>
        <sz val="9.5"/>
        <rFont val="Liberation Sans Narrow"/>
        <family val="2"/>
      </rPr>
      <t>S-опора Вектор (доп.виброопора, кол-во расчитывается по факту)</t>
    </r>
  </si>
  <si>
    <r>
      <rPr>
        <sz val="9.5"/>
        <rFont val="Liberation Sans Narrow"/>
        <family val="2"/>
      </rPr>
      <t>S-опора Модуль (доп.виброопора, кол-во расчитывается по факту)</t>
    </r>
  </si>
  <si>
    <r>
      <rPr>
        <sz val="9.5"/>
        <rFont val="Liberation Sans Narrow"/>
        <family val="2"/>
      </rPr>
      <t>лист 2 из 2</t>
    </r>
  </si>
  <si>
    <r>
      <rPr>
        <b/>
        <sz val="9.5"/>
        <rFont val="Liberation Sans Narrow"/>
        <family val="2"/>
      </rPr>
      <t>Аксессуары</t>
    </r>
  </si>
  <si>
    <r>
      <rPr>
        <sz val="9.5"/>
        <rFont val="Liberation Sans Narrow"/>
        <family val="2"/>
      </rPr>
      <t>рулон</t>
    </r>
  </si>
  <si>
    <r>
      <rPr>
        <sz val="9.5"/>
        <rFont val="Liberation Sans Narrow"/>
        <family val="2"/>
      </rPr>
      <t>Набор для звукоизоляции (Вибростек-М-100 + Вибросил герметик 4шт.)</t>
    </r>
  </si>
  <si>
    <r>
      <rPr>
        <sz val="9.5"/>
        <rFont val="Liberation Sans Narrow"/>
        <family val="2"/>
      </rPr>
      <t>комплект</t>
    </r>
  </si>
  <si>
    <r>
      <rPr>
        <sz val="9.5"/>
        <rFont val="Liberation Sans Narrow"/>
        <family val="2"/>
      </rPr>
      <t>Fischer FSN-TPG 3,9x41F500 для Акулайн, Акулайн Про (упаковка 500 шт)</t>
    </r>
  </si>
  <si>
    <r>
      <rPr>
        <sz val="9.5"/>
        <rFont val="Liberation Sans Narrow"/>
        <family val="2"/>
      </rPr>
      <t>Нетканое полотно типа спанбонд 55 г/м2, ширина рулона 1,6м</t>
    </r>
  </si>
  <si>
    <r>
      <rPr>
        <sz val="9.5"/>
        <rFont val="Liberation Sans Narrow"/>
        <family val="2"/>
      </rPr>
      <t>Пленка армированная 2х25м 200 мкм (50м2)</t>
    </r>
  </si>
  <si>
    <r>
      <rPr>
        <b/>
        <sz val="9.5"/>
        <rFont val="Liberation Sans Narrow"/>
        <family val="2"/>
      </rPr>
      <t>Металлический профиль</t>
    </r>
  </si>
  <si>
    <r>
      <rPr>
        <b/>
        <sz val="9.5"/>
        <rFont val="Liberation Sans Narrow"/>
        <family val="2"/>
      </rPr>
      <t>Цена, руб./м.пог</t>
    </r>
  </si>
  <si>
    <r>
      <rPr>
        <b/>
        <sz val="9.5"/>
        <rFont val="Liberation Sans Narrow"/>
        <family val="2"/>
      </rPr>
      <t>Профиль потолочный</t>
    </r>
  </si>
  <si>
    <r>
      <rPr>
        <sz val="9.5"/>
        <rFont val="Liberation Sans Narrow"/>
        <family val="2"/>
      </rPr>
      <t>Профиль ППН 28/27, 3 м</t>
    </r>
  </si>
  <si>
    <r>
      <rPr>
        <sz val="9.5"/>
        <rFont val="Liberation Sans Narrow"/>
        <family val="2"/>
      </rPr>
      <t>Профиль ПП П 60/27, 3 м</t>
    </r>
  </si>
  <si>
    <r>
      <rPr>
        <b/>
        <sz val="9.5"/>
        <rFont val="Liberation Sans Narrow"/>
        <family val="2"/>
      </rPr>
      <t>Профиль направляющий</t>
    </r>
  </si>
  <si>
    <r>
      <rPr>
        <sz val="9.5"/>
        <rFont val="Liberation Sans Narrow"/>
        <family val="2"/>
      </rPr>
      <t>Профиль ПН 50/40, 3 м</t>
    </r>
  </si>
  <si>
    <r>
      <rPr>
        <sz val="9.5"/>
        <rFont val="Liberation Sans Narrow"/>
        <family val="2"/>
      </rPr>
      <t>Профиль ПН 75/40, 3 м</t>
    </r>
  </si>
  <si>
    <r>
      <rPr>
        <sz val="9.5"/>
        <rFont val="Liberation Sans Narrow"/>
        <family val="2"/>
      </rPr>
      <t>Профиль ПН 100/40, 3 м</t>
    </r>
  </si>
  <si>
    <r>
      <rPr>
        <b/>
        <sz val="9.5"/>
        <rFont val="Liberation Sans Narrow"/>
        <family val="2"/>
      </rPr>
      <t>Профиль стоечный</t>
    </r>
  </si>
  <si>
    <r>
      <rPr>
        <sz val="9.5"/>
        <rFont val="Liberation Sans Narrow"/>
        <family val="2"/>
      </rPr>
      <t>Профиль ПС 50/50, 3м</t>
    </r>
  </si>
  <si>
    <r>
      <rPr>
        <sz val="9.5"/>
        <rFont val="Liberation Sans Narrow"/>
        <family val="2"/>
      </rPr>
      <t>Профиль ПС 75/50, 3м</t>
    </r>
  </si>
  <si>
    <r>
      <rPr>
        <sz val="9.5"/>
        <rFont val="Liberation Sans Narrow"/>
        <family val="2"/>
      </rPr>
      <t>Профиль ПС 100/50, 3 м</t>
    </r>
  </si>
  <si>
    <r>
      <rPr>
        <b/>
        <sz val="9.5"/>
        <rFont val="Liberation Sans Narrow"/>
        <family val="2"/>
      </rPr>
      <t>Металлический профиль Виброфлекс-Wave</t>
    </r>
  </si>
  <si>
    <r>
      <rPr>
        <b/>
        <sz val="9.5"/>
        <rFont val="Liberation Sans Narrow"/>
        <family val="2"/>
      </rPr>
      <t>Цена, руб./м.пог.</t>
    </r>
  </si>
  <si>
    <r>
      <rPr>
        <sz val="9.5"/>
        <rFont val="Liberation Sans Narrow"/>
        <family val="2"/>
      </rPr>
      <t>Виброфлекс-Wave Акустический стоечный профиль 75мм, до 11м</t>
    </r>
  </si>
  <si>
    <r>
      <rPr>
        <sz val="9.5"/>
        <rFont val="Liberation Sans Narrow"/>
        <family val="2"/>
      </rPr>
      <t>Виброфлекс-Wave Акустический стоечный профиль 100мм, до 11м</t>
    </r>
  </si>
  <si>
    <r>
      <rPr>
        <b/>
        <sz val="9.5"/>
        <rFont val="Liberation Sans Narrow"/>
        <family val="2"/>
      </rPr>
      <t>Вибродемпфированные профили для каркасных систем</t>
    </r>
  </si>
  <si>
    <r>
      <rPr>
        <sz val="9.5"/>
        <rFont val="Liberation Sans Narrow"/>
        <family val="2"/>
      </rPr>
      <t>Вибронет-профиль ПС 50/50 длина 3 м</t>
    </r>
  </si>
  <si>
    <r>
      <rPr>
        <sz val="9.5"/>
        <rFont val="Liberation Sans Narrow"/>
        <family val="2"/>
      </rPr>
      <t>Вибронет-профиль ПН 50/40 длина 3 м</t>
    </r>
  </si>
  <si>
    <r>
      <rPr>
        <sz val="9.5"/>
        <rFont val="Liberation Sans Narrow"/>
        <family val="2"/>
      </rPr>
      <t>Вибронет-профиль ПС 100/50 длина 3 м</t>
    </r>
  </si>
  <si>
    <r>
      <rPr>
        <sz val="9.5"/>
        <rFont val="Liberation Sans Narrow"/>
        <family val="2"/>
      </rPr>
      <t>Вибронет-профиль ПН 100/40 длина 3 м</t>
    </r>
  </si>
  <si>
    <r>
      <rPr>
        <sz val="9.5"/>
        <rFont val="Liberation Sans Narrow"/>
        <family val="2"/>
      </rPr>
      <t>Вибронет-профиль ПП 60/27, длина 3 м</t>
    </r>
  </si>
  <si>
    <r>
      <rPr>
        <sz val="9.5"/>
        <rFont val="Liberation Sans Narrow"/>
        <family val="2"/>
      </rPr>
      <t>Вибронет-профиль ПН 28/27, длина 3 м</t>
    </r>
  </si>
  <si>
    <r>
      <rPr>
        <sz val="9.5"/>
        <rFont val="Liberation Sans Narrow"/>
        <family val="2"/>
      </rPr>
      <t>Вибронет подвес прямой для ПП</t>
    </r>
  </si>
  <si>
    <r>
      <rPr>
        <sz val="9.5"/>
        <rFont val="Liberation Sans Narrow"/>
        <family val="2"/>
      </rPr>
      <t>Вибронет-соединитель ПП одноуровневый, "краб"</t>
    </r>
  </si>
  <si>
    <r>
      <rPr>
        <sz val="9.5"/>
        <rFont val="Liberation Sans Narrow"/>
        <family val="2"/>
      </rPr>
      <t>Вибронет-соединитель ПП двухуровневый</t>
    </r>
  </si>
  <si>
    <r>
      <rPr>
        <b/>
        <sz val="9.5"/>
        <rFont val="Liberation Sans Narrow"/>
        <family val="2"/>
      </rPr>
      <t>Дверь звукоизоляционная AG40 (40дБ)</t>
    </r>
  </si>
  <si>
    <r>
      <rPr>
        <sz val="9.5"/>
        <rFont val="Liberation Sans Narrow"/>
        <family val="2"/>
      </rPr>
      <t>Добор 10, ПИ.04.102, CPL-пластик Выбеленный Дуб (п), b=300, кромка 2 ст., L=2100</t>
    </r>
  </si>
  <si>
    <r>
      <rPr>
        <b/>
        <sz val="9.5"/>
        <rFont val="Liberation Sans Narrow"/>
        <family val="2"/>
      </rPr>
      <t>Подрозетник звукоизоляционный Ультракустик</t>
    </r>
  </si>
  <si>
    <r>
      <rPr>
        <sz val="9.5"/>
        <rFont val="Liberation Sans Narrow"/>
        <family val="2"/>
      </rPr>
      <t>Подрозетник звукоизоляционный Ультракустик, на 1 пост</t>
    </r>
  </si>
  <si>
    <r>
      <rPr>
        <sz val="9.5"/>
        <rFont val="Liberation Sans Narrow"/>
        <family val="2"/>
      </rPr>
      <t>Подрозетник звукоизоляционный Ультракустик, на 2 поста</t>
    </r>
  </si>
  <si>
    <r>
      <rPr>
        <sz val="9.5"/>
        <rFont val="Liberation Sans Narrow"/>
        <family val="2"/>
      </rPr>
      <t>Подрозетник звукоизоляционный Ультракустик, на 3 поста</t>
    </r>
  </si>
  <si>
    <r>
      <rPr>
        <sz val="9.5"/>
        <rFont val="Liberation Sans Narrow"/>
        <family val="2"/>
      </rPr>
      <t>Подрозетник звукоизоляционный Ультракустик, на 4 поста</t>
    </r>
  </si>
  <si>
    <r>
      <rPr>
        <sz val="9.5"/>
        <rFont val="Liberation Sans Narrow"/>
        <family val="2"/>
      </rPr>
      <t>Подрозетник звукоизоляционный Ультракустик, на 5 постов</t>
    </r>
  </si>
  <si>
    <r>
      <rPr>
        <b/>
        <sz val="14"/>
        <rFont val="Liberation Sans Narrow"/>
        <family val="2"/>
      </rPr>
      <t>МАТЕРИАЛЫ ДЛЯ ВИБРОИЗОЛЯЦИИ И ВИБРОПОГЛОЩЕНИЯ</t>
    </r>
  </si>
  <si>
    <r>
      <rPr>
        <b/>
        <sz val="9.5"/>
        <rFont val="Liberation Sans Narrow"/>
        <family val="2"/>
      </rPr>
      <t>Виброизоляционные подвесы и крепления, мастика</t>
    </r>
  </si>
  <si>
    <r>
      <rPr>
        <sz val="9.5"/>
        <rFont val="Liberation Sans Narrow"/>
        <family val="2"/>
      </rPr>
      <t>Виброфлекс 1/7 М8, подвес для виброизоляции оборудования</t>
    </r>
  </si>
  <si>
    <r>
      <rPr>
        <sz val="9.5"/>
        <rFont val="Liberation Sans Narrow"/>
        <family val="2"/>
      </rPr>
      <t>Виброфлекс 1/15 М8, подвес для виброизоляции оборудования</t>
    </r>
  </si>
  <si>
    <r>
      <rPr>
        <sz val="9.5"/>
        <color rgb="FFFF0000"/>
        <rFont val="Liberation Sans Narrow"/>
        <family val="2"/>
      </rPr>
      <t>Виброфлекс 1/30 М8, подвес для виброизоляции оборудования</t>
    </r>
  </si>
  <si>
    <r>
      <rPr>
        <sz val="9.5"/>
        <color rgb="FFFF0000"/>
        <rFont val="Liberation Sans Narrow"/>
        <family val="2"/>
      </rPr>
      <t>шт.</t>
    </r>
  </si>
  <si>
    <r>
      <rPr>
        <sz val="9.5"/>
        <color rgb="FFFF0000"/>
        <rFont val="Liberation Sans Narrow"/>
        <family val="2"/>
      </rPr>
      <t>-</t>
    </r>
  </si>
  <si>
    <r>
      <rPr>
        <sz val="9.5"/>
        <color rgb="FFFF0000"/>
        <rFont val="Liberation Sans Narrow"/>
        <family val="2"/>
      </rPr>
      <t>Виброфлекс 1/55 М8, подвес для виброизоляции оборудования</t>
    </r>
  </si>
  <si>
    <r>
      <rPr>
        <sz val="9.5"/>
        <color rgb="FFFF0000"/>
        <rFont val="Liberation Sans Narrow"/>
        <family val="2"/>
      </rPr>
      <t>Виброфлекс 1/70 М8, подвес для виброизоляции оборудования</t>
    </r>
  </si>
  <si>
    <r>
      <rPr>
        <sz val="9.5"/>
        <rFont val="Liberation Sans Narrow"/>
        <family val="2"/>
      </rPr>
      <t>Виброфлекс 2/7 М6, подвес для виброизоляции оборудования</t>
    </r>
  </si>
  <si>
    <r>
      <rPr>
        <sz val="9.5"/>
        <rFont val="Liberation Sans Narrow"/>
        <family val="2"/>
      </rPr>
      <t>Виброфлекс 2/15 М6, подвес для виброизоляции оборудования</t>
    </r>
  </si>
  <si>
    <r>
      <rPr>
        <sz val="9.5"/>
        <color rgb="FFFF0000"/>
        <rFont val="Liberation Sans Narrow"/>
        <family val="2"/>
      </rPr>
      <t>Виброфлекс 2/30 М6, подвес для виброизоляции оборудования</t>
    </r>
  </si>
  <si>
    <r>
      <rPr>
        <sz val="9.5"/>
        <color rgb="FFFF0000"/>
        <rFont val="Liberation Sans Narrow"/>
        <family val="2"/>
      </rPr>
      <t>Виброфлекс 2/55 М6, подвес для виброизоляции оборудования</t>
    </r>
  </si>
  <si>
    <r>
      <rPr>
        <sz val="9.5"/>
        <color rgb="FFFF0000"/>
        <rFont val="Liberation Sans Narrow"/>
        <family val="2"/>
      </rPr>
      <t>Виброфлекс 2/70 М6, подвес для виброизоляции оборудования</t>
    </r>
  </si>
  <si>
    <r>
      <rPr>
        <sz val="9.5"/>
        <rFont val="Liberation Sans Narrow"/>
        <family val="2"/>
      </rPr>
      <t>Виброфлекс 3/15 М6, подвес для виброизоляции оборудования</t>
    </r>
  </si>
  <si>
    <r>
      <rPr>
        <sz val="9.5"/>
        <rFont val="Liberation Sans Narrow"/>
        <family val="2"/>
      </rPr>
      <t>Виброфлекс 4/7 М8, подвес для виброизоляции оборудования</t>
    </r>
  </si>
  <si>
    <r>
      <rPr>
        <sz val="9.5"/>
        <rFont val="Liberation Sans Narrow"/>
        <family val="2"/>
      </rPr>
      <t>Виброфлекс 4/15 М8, подвес для виброизоляции оборудования</t>
    </r>
  </si>
  <si>
    <r>
      <rPr>
        <sz val="9.5"/>
        <color rgb="FFFF0000"/>
        <rFont val="Liberation Sans Narrow"/>
        <family val="2"/>
      </rPr>
      <t>Виброфлекс 4/30 М8, подвес для виброизоляции оборудования</t>
    </r>
  </si>
  <si>
    <r>
      <rPr>
        <sz val="9.5"/>
        <color rgb="FFFF0000"/>
        <rFont val="Liberation Sans Narrow"/>
        <family val="2"/>
      </rPr>
      <t>Виброфлекс 4/55 М8, подвес для виброизоляции оборудования</t>
    </r>
  </si>
  <si>
    <r>
      <rPr>
        <sz val="9.5"/>
        <color rgb="FFFF0000"/>
        <rFont val="Liberation Sans Narrow"/>
        <family val="2"/>
      </rPr>
      <t>Виброфлекс 4/70 М8, подвес для виброизоляции оборудования</t>
    </r>
  </si>
  <si>
    <r>
      <rPr>
        <sz val="9.5"/>
        <rFont val="Liberation Sans Narrow"/>
        <family val="2"/>
      </rPr>
      <t>Виброфлекс 1/30А, потолочный подвес тоже что и Виброфлекс 2/15 М6</t>
    </r>
  </si>
  <si>
    <r>
      <rPr>
        <sz val="9.5"/>
        <rFont val="Liberation Sans Narrow"/>
        <family val="2"/>
      </rPr>
      <t>Виброфлекс ЕР/25А, стеновое крепление тоже что и Виброфлекс 3/15 М6</t>
    </r>
  </si>
  <si>
    <r>
      <rPr>
        <sz val="9.5"/>
        <rFont val="Liberation Sans Narrow"/>
        <family val="2"/>
      </rPr>
      <t>Универсальный комплект крепежа для виброподвесов (5 шт.)</t>
    </r>
  </si>
  <si>
    <r>
      <rPr>
        <sz val="9.5"/>
        <rFont val="Liberation Sans Narrow"/>
        <family val="2"/>
      </rPr>
      <t>набор</t>
    </r>
  </si>
  <si>
    <r>
      <rPr>
        <sz val="9.5"/>
        <rFont val="Liberation Sans Narrow"/>
        <family val="2"/>
      </rPr>
      <t>Вибронет-А5, мастика, (расход 1кг/...м2, при h=2мм)</t>
    </r>
  </si>
  <si>
    <r>
      <rPr>
        <sz val="9.5"/>
        <rFont val="Liberation Sans Narrow"/>
        <family val="2"/>
      </rPr>
      <t>упак.5л.</t>
    </r>
  </si>
  <si>
    <r>
      <rPr>
        <sz val="9.5"/>
        <rFont val="Liberation Sans Narrow"/>
        <family val="2"/>
      </rPr>
      <t>Пластина усиления с гайкой М6 для виброподвесов</t>
    </r>
  </si>
  <si>
    <r>
      <rPr>
        <b/>
        <i/>
        <sz val="9.5"/>
        <color rgb="FF006FC0"/>
        <rFont val="Liberation Sans Narrow"/>
        <family val="2"/>
      </rPr>
      <t>Ширина листа 1,5м отгрузка кратно 0,1 м.п. -  полоса 0,1*1,5м (0,15м2)</t>
    </r>
  </si>
  <si>
    <r>
      <rPr>
        <sz val="9.5"/>
        <rFont val="Liberation Sans Narrow"/>
        <family val="2"/>
      </rPr>
      <t>Sylomer SR 11, желтый, лист 1200 х 1500 х 12,5 мм</t>
    </r>
  </si>
  <si>
    <r>
      <rPr>
        <sz val="9.5"/>
        <rFont val="Liberation Sans Narrow"/>
        <family val="2"/>
      </rPr>
      <t>Sylomer SR 11, желтый, лист 1200 х 1500 х 25 мм</t>
    </r>
  </si>
  <si>
    <r>
      <rPr>
        <sz val="9.5"/>
        <rFont val="Liberation Sans Narrow"/>
        <family val="2"/>
      </rPr>
      <t>Sylomer SR 18, оранжевый, лист 1200 х 1500 х 12,5 мм</t>
    </r>
  </si>
  <si>
    <r>
      <rPr>
        <sz val="9.5"/>
        <rFont val="Liberation Sans Narrow"/>
        <family val="2"/>
      </rPr>
      <t>Sylomer SR 18, оранжевый, лист 1200 х 1500 х 25 мм</t>
    </r>
  </si>
  <si>
    <r>
      <rPr>
        <sz val="9.5"/>
        <rFont val="Liberation Sans Narrow"/>
        <family val="2"/>
      </rPr>
      <t>Sylomer SR 28, синий, лист 1200 х 1500 х 12,5 мм</t>
    </r>
  </si>
  <si>
    <r>
      <rPr>
        <sz val="9.5"/>
        <rFont val="Liberation Sans Narrow"/>
        <family val="2"/>
      </rPr>
      <t>Sylomer SR 28, синий, лист 1200 х 1500 х 25 мм</t>
    </r>
  </si>
  <si>
    <r>
      <rPr>
        <sz val="9.5"/>
        <rFont val="Liberation Sans Narrow"/>
        <family val="2"/>
      </rPr>
      <t>Sylomer SR 42, розовый, лист 1200 х 1500 х 12,5 мм</t>
    </r>
  </si>
  <si>
    <r>
      <rPr>
        <sz val="9.5"/>
        <rFont val="Liberation Sans Narrow"/>
        <family val="2"/>
      </rPr>
      <t>Sylomer SR 42, розовый, лист 1200 х 1500 х 25 мм</t>
    </r>
  </si>
  <si>
    <r>
      <rPr>
        <sz val="9.5"/>
        <rFont val="Liberation Sans Narrow"/>
        <family val="2"/>
      </rPr>
      <t>Sylomer SR 55, зеленый, лист 1200 х 1500 х 12,5 мм</t>
    </r>
  </si>
  <si>
    <r>
      <rPr>
        <sz val="9.5"/>
        <rFont val="Liberation Sans Narrow"/>
        <family val="2"/>
      </rPr>
      <t>Sylomer SR 55, зеленый, лист 1200 х 1500 х 25 мм</t>
    </r>
  </si>
  <si>
    <r>
      <rPr>
        <sz val="9.5"/>
        <rFont val="Liberation Sans Narrow"/>
        <family val="2"/>
      </rPr>
      <t>Sylomer SR 110, коричневый, лист 1200 х 1500 х 12,5 мм</t>
    </r>
  </si>
  <si>
    <r>
      <rPr>
        <sz val="9.5"/>
        <rFont val="Liberation Sans Narrow"/>
        <family val="2"/>
      </rPr>
      <t>Sylomer SR 110, коричневый, лист 1200 х 1500 х 25 мм</t>
    </r>
  </si>
  <si>
    <r>
      <rPr>
        <sz val="9.5"/>
        <rFont val="Liberation Sans Narrow"/>
        <family val="2"/>
      </rPr>
      <t>Sylomer SR 220, красный, лист 1200 х 1500 х 12,5 мм</t>
    </r>
  </si>
  <si>
    <r>
      <rPr>
        <sz val="9.5"/>
        <rFont val="Liberation Sans Narrow"/>
        <family val="2"/>
      </rPr>
      <t>Sylomer SR 220, красный, лист 1200 х 1500 х 25 мм</t>
    </r>
  </si>
  <si>
    <r>
      <rPr>
        <sz val="9.5"/>
        <rFont val="Liberation Sans Narrow"/>
        <family val="2"/>
      </rPr>
      <t>Sylomer SR 450, серый, лист 1200 х 1500 х 12,5 мм</t>
    </r>
  </si>
  <si>
    <r>
      <rPr>
        <sz val="9.5"/>
        <rFont val="Liberation Sans Narrow"/>
        <family val="2"/>
      </rPr>
      <t>Sylomer SR 450, серый, лист 1200 х 1500 х 25 мм</t>
    </r>
  </si>
  <si>
    <r>
      <rPr>
        <b/>
        <sz val="9.5"/>
        <rFont val="Liberation Sans Narrow"/>
        <family val="2"/>
      </rPr>
      <t>Полиуретан. эластомер SYLOMER (под заказ) кратно 1,2 м.п. (1,8м2)</t>
    </r>
  </si>
  <si>
    <r>
      <rPr>
        <sz val="9.5"/>
        <color rgb="FFFF0000"/>
        <rFont val="Liberation Sans Narrow"/>
        <family val="2"/>
      </rPr>
      <t>Sylomer SR 330, чёрный, лист 1200 х 1500 х 12,5 мм</t>
    </r>
  </si>
  <si>
    <r>
      <rPr>
        <sz val="9.5"/>
        <color rgb="FFFF0000"/>
        <rFont val="Liberation Sans Narrow"/>
        <family val="2"/>
      </rPr>
      <t>м.пог.</t>
    </r>
  </si>
  <si>
    <r>
      <rPr>
        <sz val="9.5"/>
        <color rgb="FFFF0000"/>
        <rFont val="Liberation Sans Narrow"/>
        <family val="2"/>
      </rPr>
      <t>Sylomer SR 330, чёрный, лист 1200 х 1500 х 25 мм</t>
    </r>
  </si>
  <si>
    <r>
      <rPr>
        <sz val="9.5"/>
        <rFont val="Liberation Sans Narrow"/>
        <family val="2"/>
      </rPr>
      <t>Sylomer SR 850, бирюзовый, лист 1200 х 1500 х 12,5 мм</t>
    </r>
  </si>
  <si>
    <r>
      <rPr>
        <sz val="9.5"/>
        <rFont val="Liberation Sans Narrow"/>
        <family val="2"/>
      </rPr>
      <t>Sylomer SR 850, бирюзовый, лист 1200 х 1500 х 25 мм</t>
    </r>
  </si>
  <si>
    <r>
      <rPr>
        <sz val="9.5"/>
        <rFont val="Liberation Sans Narrow"/>
        <family val="2"/>
      </rPr>
      <t>Sylomer SR 1200, фиолетовый, лист 1200 х 1500 х 12,5 мм</t>
    </r>
  </si>
  <si>
    <r>
      <rPr>
        <sz val="9.5"/>
        <rFont val="Liberation Sans Narrow"/>
        <family val="2"/>
      </rPr>
      <t>Sylomer SR 1200, фиолетовый, лист 1200 х 1500 х 25 мм</t>
    </r>
  </si>
  <si>
    <r>
      <rPr>
        <b/>
        <sz val="9.5"/>
        <rFont val="Liberation Sans Narrow"/>
        <family val="2"/>
      </rPr>
      <t>Виброизоляционные опоры Виброфлекс SM</t>
    </r>
  </si>
  <si>
    <r>
      <rPr>
        <b/>
        <sz val="9.5"/>
        <rFont val="Liberation Sans Narrow"/>
        <family val="2"/>
      </rPr>
      <t>Ед.изм</t>
    </r>
  </si>
  <si>
    <r>
      <rPr>
        <u/>
        <sz val="9.5"/>
        <color rgb="FFFF0000"/>
        <rFont val="Liberation Sans Narrow"/>
        <family val="2"/>
      </rPr>
      <t>Виброфлекс SM 60/50-A   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60/75-A   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120/50-A 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120/75-A 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>Виброфлекс SM 250/50-A             </t>
    </r>
    <r>
      <rPr>
        <sz val="9.5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>Виброфлекс SM 250/75-A             </t>
    </r>
    <r>
      <rPr>
        <sz val="9.5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>Виброфлекс SM 470/50-A             </t>
    </r>
    <r>
      <rPr>
        <sz val="9.5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>Виброфлекс SM 470/75-A             </t>
    </r>
    <r>
      <rPr>
        <sz val="9.5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 xml:space="preserve">Виброфлекс SM 940/50-A             
</t>
    </r>
    <r>
      <rPr>
        <sz val="9.5"/>
        <rFont val="Liberation Sans Narrow"/>
        <family val="2"/>
      </rPr>
      <t>Виброфлекс SM 940/75-A</t>
    </r>
  </si>
  <si>
    <r>
      <rPr>
        <u/>
        <sz val="9.5"/>
        <color rgb="FFFF0000"/>
        <rFont val="Liberation Sans Narrow"/>
        <family val="2"/>
      </rPr>
      <t>Виброфлекс SM 60/50-B  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60/75-B  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120/50-B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120/75-B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250/50-B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250/75-B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>Виброфлекс SM 470/50-B            </t>
    </r>
    <r>
      <rPr>
        <sz val="9.5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>Виброфлекс SM 470/75-B            </t>
    </r>
    <r>
      <rPr>
        <sz val="9.5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 xml:space="preserve">Виброфлекс SM 940/50-B            
</t>
    </r>
    <r>
      <rPr>
        <sz val="9.5"/>
        <rFont val="Liberation Sans Narrow"/>
        <family val="2"/>
      </rPr>
      <t>Виброфлекс SM 940/75-B</t>
    </r>
  </si>
  <si>
    <r>
      <rPr>
        <u/>
        <sz val="9.5"/>
        <color rgb="FFFF0000"/>
        <rFont val="Liberation Sans Narrow"/>
        <family val="2"/>
      </rPr>
      <t>Виброфлекс SM 60/50-С 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60/75-С  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120/50-С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120/75-С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250/50-С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250/75-С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470/50-С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color rgb="FFFF0000"/>
        <rFont val="Liberation Sans Narrow"/>
        <family val="2"/>
      </rPr>
      <t>Виброфлекс SM 470/75-С           </t>
    </r>
    <r>
      <rPr>
        <sz val="9.5"/>
        <color rgb="FFFF0000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 xml:space="preserve">Виброфлекс SM 940/50-С           
</t>
    </r>
    <r>
      <rPr>
        <sz val="9.5"/>
        <rFont val="Liberation Sans Narrow"/>
        <family val="2"/>
      </rPr>
      <t>Виброфлекс SM 940/75-С</t>
    </r>
  </si>
  <si>
    <r>
      <rPr>
        <b/>
        <sz val="9.5"/>
        <rFont val="Liberation Sans Narrow"/>
        <family val="2"/>
      </rPr>
      <t>Пружинные виброизоляторы ISOTOP</t>
    </r>
  </si>
  <si>
    <r>
      <rPr>
        <sz val="9.5"/>
        <rFont val="Liberation Sans Narrow"/>
        <family val="2"/>
      </rPr>
      <t>ISOTOP SD 1</t>
    </r>
  </si>
  <si>
    <r>
      <rPr>
        <sz val="9.5"/>
        <rFont val="Liberation Sans Narrow"/>
        <family val="2"/>
      </rPr>
      <t>ISOTOP SD 2</t>
    </r>
  </si>
  <si>
    <r>
      <rPr>
        <sz val="9.5"/>
        <rFont val="Liberation Sans Narrow"/>
        <family val="2"/>
      </rPr>
      <t>ISOTOP SD 3</t>
    </r>
  </si>
  <si>
    <r>
      <rPr>
        <sz val="9.5"/>
        <rFont val="Liberation Sans Narrow"/>
        <family val="2"/>
      </rPr>
      <t>ISOTOP SD 4</t>
    </r>
  </si>
  <si>
    <r>
      <rPr>
        <sz val="9.5"/>
        <rFont val="Liberation Sans Narrow"/>
        <family val="2"/>
      </rPr>
      <t>ISOTOP SD 5</t>
    </r>
  </si>
  <si>
    <r>
      <rPr>
        <sz val="9.5"/>
        <rFont val="Liberation Sans Narrow"/>
        <family val="2"/>
      </rPr>
      <t>ISOTOP SD 6</t>
    </r>
  </si>
  <si>
    <r>
      <rPr>
        <sz val="9.5"/>
        <rFont val="Liberation Sans Narrow"/>
        <family val="2"/>
      </rPr>
      <t>ISOTOP SD 7</t>
    </r>
  </si>
  <si>
    <r>
      <rPr>
        <sz val="9.5"/>
        <rFont val="Liberation Sans Narrow"/>
        <family val="2"/>
      </rPr>
      <t>ISOTOP SD 8</t>
    </r>
  </si>
  <si>
    <r>
      <rPr>
        <sz val="9.5"/>
        <rFont val="Liberation Sans Narrow"/>
        <family val="2"/>
      </rPr>
      <t>ISOTOP DSD 2-KTL</t>
    </r>
  </si>
  <si>
    <r>
      <rPr>
        <sz val="9.5"/>
        <rFont val="Liberation Sans Narrow"/>
        <family val="2"/>
      </rPr>
      <t>ISOTOP DSD 3-KTL</t>
    </r>
  </si>
  <si>
    <r>
      <rPr>
        <sz val="9.5"/>
        <rFont val="Liberation Sans Narrow"/>
        <family val="2"/>
      </rPr>
      <t>ISOTOP DSD 4-KTL</t>
    </r>
  </si>
  <si>
    <r>
      <rPr>
        <sz val="9.5"/>
        <rFont val="Liberation Sans Narrow"/>
        <family val="2"/>
      </rPr>
      <t>ISOTOP DSD 5-KTL</t>
    </r>
  </si>
  <si>
    <r>
      <rPr>
        <sz val="9.5"/>
        <rFont val="Liberation Sans Narrow"/>
        <family val="2"/>
      </rPr>
      <t>ISOTOP DSD 6-KTL</t>
    </r>
  </si>
  <si>
    <r>
      <rPr>
        <sz val="9.5"/>
        <rFont val="Liberation Sans Narrow"/>
        <family val="2"/>
      </rPr>
      <t>ISOTOP DSD 7-KTL</t>
    </r>
  </si>
  <si>
    <r>
      <rPr>
        <sz val="9.5"/>
        <rFont val="Liberation Sans Narrow"/>
        <family val="2"/>
      </rPr>
      <t>ISOTOP DSD 8-KTL</t>
    </r>
  </si>
  <si>
    <r>
      <rPr>
        <u/>
        <sz val="9.5"/>
        <rFont val="Liberation Sans Narrow"/>
        <family val="2"/>
      </rPr>
      <t>ISOTOP FP/K 1-4-KTL               </t>
    </r>
    <r>
      <rPr>
        <sz val="9.5"/>
        <rFont val="Liberation Sans Narrow"/>
        <family val="2"/>
      </rPr>
      <t xml:space="preserve"> </t>
    </r>
    <r>
      <rPr>
        <u/>
        <sz val="9.5"/>
        <rFont val="Liberation Sans Narrow"/>
        <family val="2"/>
      </rPr>
      <t xml:space="preserve">ISOTOP FP/K 5-6-KTL               
</t>
    </r>
    <r>
      <rPr>
        <sz val="9.5"/>
        <rFont val="Liberation Sans Narrow"/>
        <family val="2"/>
      </rPr>
      <t>ISOTOP FP/K 7-9-KTL</t>
    </r>
  </si>
  <si>
    <r>
      <rPr>
        <sz val="9.5"/>
        <rFont val="Liberation Sans Narrow"/>
        <family val="2"/>
      </rPr>
      <t>ISOTOP FP 1-9-KTL (4 шт.  с крепежом )</t>
    </r>
  </si>
  <si>
    <r>
      <rPr>
        <sz val="9.5"/>
        <rFont val="Liberation Sans Narrow"/>
        <family val="2"/>
      </rPr>
      <t>ISOTOP NV 1-9 (комплект для регулировки высоты)</t>
    </r>
  </si>
  <si>
    <r>
      <rPr>
        <b/>
        <sz val="14"/>
        <rFont val="Liberation Sans Narrow"/>
        <family val="2"/>
      </rPr>
      <t>ДЕКОРАТИВНО-АКУСТИЧЕСКИЕ МАТЕРИАЛЫ</t>
    </r>
  </si>
  <si>
    <r>
      <rPr>
        <sz val="8.5"/>
        <rFont val="Liberation Sans Narrow"/>
        <family val="2"/>
      </rPr>
      <t>лист 1 из 2</t>
    </r>
  </si>
  <si>
    <r>
      <rPr>
        <sz val="9.5"/>
        <rFont val="Liberation Sans Narrow"/>
        <family val="2"/>
      </rPr>
      <t>SoundBoard Fine, 600х600х20 мм, волокно 2мм, грунт., кромка К5</t>
    </r>
  </si>
  <si>
    <r>
      <rPr>
        <sz val="9.5"/>
        <rFont val="Liberation Sans Narrow"/>
        <family val="2"/>
      </rPr>
      <t>SoundBoard Fine, 1200х600х20 мм, волокно 2мм, грунт., кромка К5</t>
    </r>
  </si>
  <si>
    <r>
      <rPr>
        <sz val="9.5"/>
        <rFont val="Liberation Sans Narrow"/>
        <family val="2"/>
      </rPr>
      <t>SoundBoard Extrafine, 600х600х20 мм, волокно 1,5мм, грунт., кромка К5</t>
    </r>
  </si>
  <si>
    <r>
      <rPr>
        <sz val="9.5"/>
        <rFont val="Liberation Sans Narrow"/>
        <family val="2"/>
      </rPr>
      <t>SoundBoard Extrafine, 1200х600х20 мм, волокно 1,5мм, грунт., кромка К5</t>
    </r>
  </si>
  <si>
    <r>
      <rPr>
        <sz val="9.5"/>
        <rFont val="Liberation Sans Narrow"/>
        <family val="2"/>
      </rPr>
      <t>SoundBoard Superfine, 600х600х20 мм, волокно 1мм, грунт., кромка К5</t>
    </r>
  </si>
  <si>
    <r>
      <rPr>
        <sz val="9.5"/>
        <rFont val="Liberation Sans Narrow"/>
        <family val="2"/>
      </rPr>
      <t>SoundBoard Superfine, 1200х600х20 мм, волокно 1мм, грунт., кромка К5</t>
    </r>
  </si>
  <si>
    <r>
      <rPr>
        <sz val="9.5"/>
        <rFont val="Liberation Sans Narrow"/>
        <family val="2"/>
      </rPr>
      <t>SoundBoard Superfine, 1200х600х20 мм, волокно 1мм, кромка К5 окраска по RAL</t>
    </r>
  </si>
  <si>
    <r>
      <rPr>
        <sz val="9.5"/>
        <rFont val="Liberation Sans Narrow"/>
        <family val="2"/>
      </rPr>
      <t>SoundBoard Baffle SuperFine, 1200х200/300/600х40 мм, волокно 1мм, окраска по RAL</t>
    </r>
  </si>
  <si>
    <r>
      <rPr>
        <sz val="9.5"/>
        <rFont val="Liberation Sans Narrow"/>
        <family val="2"/>
      </rPr>
      <t>Heradesign fine, плита 1200х600х15 мм, AK-01,неокрашенный</t>
    </r>
  </si>
  <si>
    <r>
      <rPr>
        <sz val="9.5"/>
        <rFont val="Liberation Sans Narrow"/>
        <family val="2"/>
      </rPr>
      <t>Heradesign micro, плита 1200х600х25 мм, AK-01, неокрашенный</t>
    </r>
  </si>
  <si>
    <r>
      <rPr>
        <sz val="9.5"/>
        <rFont val="Liberation Sans Narrow"/>
        <family val="2"/>
      </rPr>
      <t>Heradesign plano, плита 1200х600х25 мм, AK-01, неокрашенный</t>
    </r>
  </si>
  <si>
    <r>
      <rPr>
        <sz val="9.5"/>
        <rFont val="Liberation Sans Narrow"/>
        <family val="2"/>
      </rPr>
      <t>Heradesign superfine, плита 1200х600х15 мм, AK-01, неокрашенный</t>
    </r>
  </si>
  <si>
    <r>
      <rPr>
        <sz val="9.5"/>
        <rFont val="Liberation Sans Narrow"/>
        <family val="2"/>
      </rPr>
      <t>Heradesign superfine, плита 594х594х15 мм, SK-04, неокрашенный (потолочная)</t>
    </r>
  </si>
  <si>
    <r>
      <rPr>
        <sz val="9.5"/>
        <rFont val="Liberation Sans Narrow"/>
        <family val="2"/>
      </rPr>
      <t>Heradesign superfine, плита 1194х594х25 мм, SK-04, неокрашенный (потолочная)</t>
    </r>
  </si>
  <si>
    <r>
      <rPr>
        <sz val="9.5"/>
        <rFont val="Liberation Sans Narrow"/>
        <family val="2"/>
      </rPr>
      <t>Heradesign superfine, плита 1200х600х25 мм, AK-01, неокрашенный</t>
    </r>
  </si>
  <si>
    <r>
      <rPr>
        <b/>
        <sz val="9.5"/>
        <rFont val="Liberation Sans Narrow"/>
        <family val="2"/>
      </rPr>
      <t>САУНДЛАЙН-АКУСТИКА Перфорированный гипсокартон (Россия)</t>
    </r>
  </si>
  <si>
    <r>
      <rPr>
        <sz val="9.5"/>
        <rFont val="Liberation Sans Narrow"/>
        <family val="2"/>
      </rPr>
      <t>САУНДЛАЙН-Акустика Пойнт 1998х1188х12,5 мм</t>
    </r>
  </si>
  <si>
    <r>
      <rPr>
        <sz val="9.5"/>
        <rFont val="Liberation Sans Narrow"/>
        <family val="2"/>
      </rPr>
      <t>лист</t>
    </r>
  </si>
  <si>
    <r>
      <rPr>
        <sz val="9.5"/>
        <rFont val="Liberation Sans Narrow"/>
        <family val="2"/>
      </rPr>
      <t>САУНДЛАЙН-Акустика Квадро 2000х1200х12,5 мм</t>
    </r>
  </si>
  <si>
    <r>
      <rPr>
        <sz val="9.5"/>
        <rFont val="Liberation Sans Narrow"/>
        <family val="2"/>
      </rPr>
      <t>САУНДЛАЙН-Акустика Звездное небо 2000х1197х12,5 мм</t>
    </r>
  </si>
  <si>
    <r>
      <rPr>
        <sz val="9.5"/>
        <rFont val="Liberation Sans Narrow"/>
        <family val="2"/>
      </rPr>
      <t>САУНДЛАЙН-Акустика Пойнт Блочная 2448х1224х12,5 мм</t>
    </r>
  </si>
  <si>
    <r>
      <rPr>
        <sz val="9.5"/>
        <rFont val="Liberation Sans Narrow"/>
        <family val="2"/>
      </rPr>
      <t>САУНДЛАЙН-Акустика Квадро Блочная 2400х1200х12,5 мм</t>
    </r>
  </si>
  <si>
    <r>
      <rPr>
        <b/>
        <sz val="9.5"/>
        <rFont val="Liberation Sans Narrow"/>
        <family val="2"/>
      </rPr>
      <t>DECOUSTIC Акустические панели натуральный шпон и ламинат на основе CDF</t>
    </r>
  </si>
  <si>
    <r>
      <rPr>
        <sz val="9.5"/>
        <rFont val="Liberation Sans Narrow"/>
        <family val="2"/>
      </rPr>
      <t>Decoustic 14/2, 4ШП, 2768х320х16,4 мм, базовые декоры</t>
    </r>
  </si>
  <si>
    <r>
      <rPr>
        <sz val="9.5"/>
        <rFont val="Liberation Sans Narrow"/>
        <family val="2"/>
      </rPr>
      <t>Decoustic 30/2, 4ШП, 2768х320х16,4 мм, базовые декоры</t>
    </r>
  </si>
  <si>
    <r>
      <rPr>
        <sz val="9.5"/>
        <color rgb="FFFF0000"/>
        <rFont val="Liberation Sans Narrow"/>
        <family val="2"/>
      </rPr>
      <t>Decoustic Перфо  16/16/6 (16/16/8)  4ШП, 2768х320х16,4 мм, базовые декоры</t>
    </r>
  </si>
  <si>
    <r>
      <rPr>
        <sz val="9.5"/>
        <rFont val="Liberation Sans Narrow"/>
        <family val="2"/>
      </rPr>
      <t>Decoustic БСП  14/2  4ШП, 2768х320х16,4 мм, базовые декоры</t>
    </r>
  </si>
  <si>
    <r>
      <rPr>
        <sz val="9.5"/>
        <rFont val="Liberation Sans Narrow"/>
        <family val="2"/>
      </rPr>
      <t>Decoustic БСП  30/2  4ШП, 2768х320х16,4 мм, базовые декоры</t>
    </r>
  </si>
  <si>
    <r>
      <rPr>
        <sz val="9.5"/>
        <rFont val="Liberation Sans Narrow"/>
        <family val="2"/>
      </rPr>
      <t>Decoustic БП 4ШП, 2768х320х16,4 мм, базовые декоры</t>
    </r>
  </si>
  <si>
    <r>
      <rPr>
        <b/>
        <sz val="9.5"/>
        <color rgb="FFFF0000"/>
        <rFont val="Liberation Sans Narrow"/>
        <family val="2"/>
      </rPr>
      <t>Decoustic 30/2  2ШП2ПП, 2780х320х16,4 мм шпон Клён, Белый дуб, Орех</t>
    </r>
  </si>
  <si>
    <r>
      <rPr>
        <sz val="9.5"/>
        <rFont val="Liberation Sans Narrow"/>
        <family val="2"/>
      </rPr>
      <t>* БП - без перфорации, БСП - без сквозной перфорации, 4ШП - кромка шип-паз</t>
    </r>
  </si>
  <si>
    <r>
      <rPr>
        <sz val="9.5"/>
        <rFont val="Liberation Sans Narrow"/>
        <family val="2"/>
      </rPr>
      <t>Ед.изм.</t>
    </r>
  </si>
  <si>
    <r>
      <rPr>
        <sz val="9.5"/>
        <rFont val="Liberation Sans Narrow"/>
        <family val="2"/>
      </rPr>
      <t>Цена, руб./м2</t>
    </r>
  </si>
  <si>
    <r>
      <rPr>
        <sz val="9.5"/>
        <rFont val="Liberation Sans Narrow"/>
        <family val="2"/>
      </rPr>
      <t>Цена, руб./ед.</t>
    </r>
  </si>
  <si>
    <r>
      <rPr>
        <sz val="9.5"/>
        <rFont val="Liberation Sans Narrow"/>
        <family val="2"/>
      </rPr>
      <t>D-клипса L=45мм, с отверстием d 4,5мм</t>
    </r>
  </si>
  <si>
    <r>
      <rPr>
        <sz val="9.5"/>
        <rFont val="Liberation Sans Narrow"/>
        <family val="2"/>
      </rPr>
      <t>D-клипса, L=210мм, с двумя отверстиями d 4,5мм</t>
    </r>
  </si>
  <si>
    <r>
      <rPr>
        <sz val="9.5"/>
        <rFont val="Liberation Sans Narrow"/>
        <family val="2"/>
      </rPr>
      <t>Торцевой С-профиль С16, длина 3м</t>
    </r>
  </si>
  <si>
    <r>
      <rPr>
        <sz val="9.5"/>
        <rFont val="Liberation Sans Narrow"/>
        <family val="2"/>
      </rPr>
      <t>Торцевой П-профиль 0307-21, длина 3м</t>
    </r>
  </si>
  <si>
    <r>
      <rPr>
        <sz val="9.5"/>
        <rFont val="Liberation Sans Narrow"/>
        <family val="2"/>
      </rPr>
      <t>Промежуточный Т-профиль Т-10, длина 3м</t>
    </r>
  </si>
  <si>
    <r>
      <rPr>
        <sz val="9.5"/>
        <rFont val="Liberation Sans Narrow"/>
        <family val="2"/>
      </rPr>
      <t>Промежуточный Н-профиль 0307-22, длина 3м</t>
    </r>
  </si>
  <si>
    <r>
      <rPr>
        <sz val="9.5"/>
        <rFont val="Liberation Sans Narrow"/>
        <family val="2"/>
      </rPr>
      <t>Угловой профиль 0307-23, длина 3м</t>
    </r>
  </si>
  <si>
    <r>
      <rPr>
        <sz val="9.5"/>
        <rFont val="Liberation Sans Narrow"/>
        <family val="2"/>
      </rPr>
      <t>Установочный П-профиль 8мм квадратный 8-16, длина 3м</t>
    </r>
  </si>
  <si>
    <r>
      <rPr>
        <sz val="9.5"/>
        <rFont val="Liberation Sans Narrow"/>
        <family val="2"/>
      </rPr>
      <t>Профиль угловой 15х15мм. L=3 пм</t>
    </r>
  </si>
  <si>
    <r>
      <rPr>
        <b/>
        <sz val="9.5"/>
        <rFont val="Liberation Sans Narrow"/>
        <family val="2"/>
      </rPr>
      <t>FLEXAKUSTIK Рельефные звукопоглощающие плиты из ППУ</t>
    </r>
  </si>
  <si>
    <r>
      <rPr>
        <sz val="9.5"/>
        <rFont val="Liberation Sans Narrow"/>
        <family val="2"/>
      </rPr>
      <t>FLEXAKUSTIK PIR-70 1000х1000х70, цвет серый графит</t>
    </r>
  </si>
  <si>
    <r>
      <rPr>
        <sz val="9.5"/>
        <rFont val="Liberation Sans Narrow"/>
        <family val="2"/>
      </rPr>
      <t>FLEXAKUSTIK PIR-50 1000х1000х50, цвет серый графит</t>
    </r>
  </si>
  <si>
    <r>
      <rPr>
        <sz val="9.5"/>
        <rFont val="Liberation Sans Narrow"/>
        <family val="2"/>
      </rPr>
      <t>FLEXAKUSTIK Wave-30, 1000х1000х30, цвет серый графит</t>
    </r>
  </si>
  <si>
    <r>
      <rPr>
        <sz val="9.5"/>
        <rFont val="Liberation Sans Narrow"/>
        <family val="2"/>
      </rPr>
      <t>FLEXAKUSTIK Square-30, 1000х1000х30, цвет серый графит</t>
    </r>
  </si>
  <si>
    <r>
      <rPr>
        <sz val="9.5"/>
        <rFont val="Liberation Sans Narrow"/>
        <family val="2"/>
      </rPr>
      <t>FLEXAKUSTIK Wave-BassTrap, 330x330х1000, цвет серый графит</t>
    </r>
  </si>
  <si>
    <r>
      <rPr>
        <sz val="9.5"/>
        <rFont val="Liberation Sans Narrow"/>
        <family val="2"/>
      </rPr>
      <t>Саундлюкс-Техно 2500х300х40 мм, оцинк.сталь, Б.Т.  / Ч.Т.</t>
    </r>
  </si>
  <si>
    <r>
      <rPr>
        <sz val="9.5"/>
        <rFont val="Liberation Sans Narrow"/>
        <family val="2"/>
      </rPr>
      <t>Саундлюкс-Техно  3000х300х40 мм, оцинк.сталь, Б.Т. / Ч.Т.</t>
    </r>
  </si>
  <si>
    <r>
      <rPr>
        <sz val="9.5"/>
        <rFont val="Liberation Sans Narrow"/>
        <family val="2"/>
      </rPr>
      <t>Саундлюкс-Техно  2500 / 3000х300х40 мм, окрашенный по  RAL, Б.Т. / Ч.Т.</t>
    </r>
  </si>
  <si>
    <r>
      <rPr>
        <b/>
        <sz val="9.5"/>
        <rFont val="Liberation Sans Narrow"/>
        <family val="2"/>
      </rPr>
      <t>Саундлюкс-Дизайн Стеновые панели (КМ1)</t>
    </r>
  </si>
  <si>
    <r>
      <rPr>
        <sz val="9.5"/>
        <rFont val="Liberation Sans Narrow"/>
        <family val="2"/>
      </rPr>
      <t>Саундлюкс-Дизайн  2500 / 3000х300х40 мм, Окраскашенный  по RAL, Б.Т. / Ч.Т.</t>
    </r>
  </si>
  <si>
    <r>
      <rPr>
        <b/>
        <sz val="9.5"/>
        <rFont val="Liberation Sans Narrow"/>
        <family val="2"/>
      </rPr>
      <t>Саундлюкс-Баффл Подвесные акустические элементы</t>
    </r>
  </si>
  <si>
    <r>
      <rPr>
        <sz val="9.5"/>
        <rFont val="Liberation Sans Narrow"/>
        <family val="2"/>
      </rPr>
      <t>Саундлюкс-Техно Баффл 1200х300/600х50/100 мм, оцинк.сталь, Б.Т.</t>
    </r>
  </si>
  <si>
    <r>
      <rPr>
        <sz val="9.5"/>
        <rFont val="Liberation Sans Narrow"/>
        <family val="2"/>
      </rPr>
      <t>Саундлюкс-Техно Баффл 1200х300/600х50/100 мм, окрашенный по RAL, Б.Т.</t>
    </r>
  </si>
  <si>
    <r>
      <rPr>
        <sz val="9.5"/>
        <rFont val="Liberation Sans Narrow"/>
        <family val="2"/>
      </rPr>
      <t>Саундлюкс-Техно Баффл LED тип 1  1200х300 / 600х50 мм, оцинк.сталь, Б.Т.</t>
    </r>
  </si>
  <si>
    <r>
      <rPr>
        <sz val="9.5"/>
        <rFont val="Liberation Sans Narrow"/>
        <family val="2"/>
      </rPr>
      <t>Саундлюкс-Техно Баффл LED тип 1  1200х300 / 600х50 мм, окрашенный по  RAL, Б.Т.</t>
    </r>
  </si>
  <si>
    <r>
      <rPr>
        <sz val="9.5"/>
        <rFont val="Liberation Sans Narrow"/>
        <family val="2"/>
      </rPr>
      <t>Саундлюкс-Техно Соло 1200х210х50 мм, оцинк.сталь, Б.Т.</t>
    </r>
  </si>
  <si>
    <r>
      <rPr>
        <sz val="9.5"/>
        <rFont val="Liberation Sans Narrow"/>
        <family val="2"/>
      </rPr>
      <t>Саундлюкс-Техно Соло LED 1200х210х50 мм,</t>
    </r>
  </si>
  <si>
    <r>
      <rPr>
        <sz val="9.5"/>
        <rFont val="Liberation Sans Narrow"/>
        <family val="2"/>
      </rPr>
      <t>П-Профиль для Саундлюкс (12х42х24), 2,51м, 0,5мм, оцинк.</t>
    </r>
  </si>
  <si>
    <r>
      <rPr>
        <sz val="9.5"/>
        <rFont val="Liberation Sans Narrow"/>
        <family val="2"/>
      </rPr>
      <t>Профиль-омега для Саундлюкс (12х40х13,6х40х12), 2,5 м, оцинк.</t>
    </r>
  </si>
  <si>
    <r>
      <rPr>
        <sz val="9.5"/>
        <rFont val="Liberation Sans Narrow"/>
        <family val="2"/>
      </rPr>
      <t>Профиль-заглушка  для Саундлюкс (38х13х38) 2,50м, 0,5мм оцинк.</t>
    </r>
  </si>
  <si>
    <r>
      <rPr>
        <sz val="9.5"/>
        <rFont val="Liberation Sans Narrow"/>
        <family val="2"/>
      </rPr>
      <t>Комплект крепежа для монтажа панели Саундлюкс-Техно (для 5 шт.)</t>
    </r>
  </si>
  <si>
    <r>
      <rPr>
        <sz val="9.5"/>
        <rFont val="Liberation Sans Narrow"/>
        <family val="2"/>
      </rPr>
      <t>Комплект подвеса панели Саундлюкс-Баффл (Hmax=3,4пм.)</t>
    </r>
  </si>
  <si>
    <r>
      <rPr>
        <sz val="9.5"/>
        <rFont val="Liberation Sans Narrow"/>
        <family val="2"/>
      </rPr>
      <t>Комплект подвеса панели Саундлюкс - Соло (Hmax=3,4пм.)</t>
    </r>
  </si>
  <si>
    <r>
      <rPr>
        <sz val="9.5"/>
        <rFont val="Liberation Sans Narrow"/>
        <family val="2"/>
      </rPr>
      <t>компл.</t>
    </r>
  </si>
  <si>
    <r>
      <rPr>
        <b/>
        <sz val="9.5"/>
        <rFont val="Liberation Sans Narrow"/>
        <family val="2"/>
      </rPr>
      <t>САУНДЛАЙН-АКУСТИКА НГ панель акустическая негорючая (КМ0)</t>
    </r>
  </si>
  <si>
    <r>
      <rPr>
        <sz val="9.5"/>
        <rFont val="Liberation Sans Narrow"/>
        <family val="2"/>
      </rPr>
      <t>Саундлайн-Акустика НГ 6/16 Поинт Блочная, 4ПК 2460х1240х8 мм</t>
    </r>
  </si>
  <si>
    <r>
      <rPr>
        <sz val="9.5"/>
        <rFont val="Liberation Sans Narrow"/>
        <family val="2"/>
      </rPr>
      <t>Саундлайн-Акустика НГ 6/16 Поинт Блочная, 4ПК 2460х1240х8 мм, окрашенный по RAL</t>
    </r>
  </si>
  <si>
    <r>
      <rPr>
        <sz val="9.5"/>
        <rFont val="Liberation Sans Narrow"/>
        <family val="2"/>
      </rPr>
      <t>Саундлайн-Акустика НГ БП, 4ПК 2440х1220х8 мм, окрашенный по RAL</t>
    </r>
  </si>
  <si>
    <r>
      <rPr>
        <sz val="9.5"/>
        <rFont val="Liberation Sans Narrow"/>
        <family val="2"/>
      </rPr>
      <t>Профиль F–образный 3 м</t>
    </r>
  </si>
  <si>
    <r>
      <rPr>
        <sz val="9.5"/>
        <rFont val="Liberation Sans Narrow"/>
        <family val="2"/>
      </rPr>
      <t>Профиль L–образный 3 м</t>
    </r>
  </si>
  <si>
    <r>
      <rPr>
        <sz val="9.5"/>
        <rFont val="Liberation Sans Narrow"/>
        <family val="2"/>
      </rPr>
      <t>Профиль омегаобразный 3 м</t>
    </r>
  </si>
  <si>
    <r>
      <rPr>
        <sz val="9.5"/>
        <rFont val="Liberation Sans Narrow"/>
        <family val="2"/>
      </rPr>
      <t>Профиль-заглушка 3 м</t>
    </r>
  </si>
  <si>
    <r>
      <rPr>
        <sz val="9.5"/>
        <rFont val="Liberation Sans Narrow"/>
        <family val="2"/>
      </rPr>
      <t>* ВАЖНО! при анодировании длина профиля уменьшается до 2,95 м</t>
    </r>
  </si>
  <si>
    <r>
      <rPr>
        <b/>
        <sz val="9.5"/>
        <rFont val="Liberation Sans Narrow"/>
        <family val="2"/>
      </rPr>
      <t>АКУФОН НГ Панель акустическая негорючая (КМ0)</t>
    </r>
  </si>
  <si>
    <r>
      <rPr>
        <sz val="9.5"/>
        <rFont val="Liberation Sans Narrow"/>
        <family val="2"/>
      </rPr>
      <t>Акуфон Стандарт, кромка К10, 1200х200х50 мм</t>
    </r>
  </si>
  <si>
    <r>
      <rPr>
        <sz val="9.5"/>
        <rFont val="Liberation Sans Narrow"/>
        <family val="2"/>
      </rPr>
      <t>Акуфон Inside 1200х600х50 мм</t>
    </r>
  </si>
  <si>
    <r>
      <rPr>
        <b/>
        <sz val="9.5"/>
        <rFont val="Liberation Sans Narrow"/>
        <family val="2"/>
      </rPr>
      <t>CARA акустическая ткань</t>
    </r>
  </si>
  <si>
    <r>
      <rPr>
        <sz val="9.5"/>
        <rFont val="Liberation Sans Narrow"/>
        <family val="2"/>
      </rPr>
      <t>CARA, ткань "мелкая рогожка", рулон шириной 1,7 м, 32 цвета</t>
    </r>
  </si>
  <si>
    <r>
      <rPr>
        <sz val="9.5"/>
        <rFont val="Liberation Sans Narrow"/>
        <family val="2"/>
      </rPr>
      <t>Akusto Wall A Akutex FT 2700х1200х40мм,  Белый Frost, 4 шт./12,96 м2/упак</t>
    </r>
  </si>
  <si>
    <r>
      <rPr>
        <sz val="9.5"/>
        <rFont val="Liberation Sans Narrow"/>
        <family val="2"/>
      </rPr>
      <t>Akusto Wall A Super G 2700х1200х40мм,  Белый 085,  4 шт./12,96 м2/упак</t>
    </r>
  </si>
  <si>
    <r>
      <rPr>
        <sz val="9.5"/>
        <rFont val="Liberation Sans Narrow"/>
        <family val="2"/>
      </rPr>
      <t>Akusto Wall A/Texona 2700х1200х40мм,Цвет по запросу,4 шт./12,96 м2/упак</t>
    </r>
  </si>
  <si>
    <r>
      <rPr>
        <sz val="9.5"/>
        <rFont val="Liberation Sans Narrow"/>
        <family val="2"/>
      </rPr>
      <t>Akusto Wall С/Texona 2700х600х40мм,Цвет по запросу, 4 шт./6,48 м2/упак</t>
    </r>
  </si>
  <si>
    <r>
      <rPr>
        <sz val="9.5"/>
        <rFont val="Liberation Sans Narrow"/>
        <family val="2"/>
      </rPr>
      <t>Focus A T24, 1200х1200х20мм, Белый Frost, 8 шт./11,52 м2/упак.</t>
    </r>
  </si>
  <si>
    <r>
      <rPr>
        <sz val="9.5"/>
        <rFont val="Liberation Sans Narrow"/>
        <family val="2"/>
      </rPr>
      <t>Focus A T24, 1200х600х20мм, Белый Frost, 14 шт./10,08 м2/упак.</t>
    </r>
  </si>
  <si>
    <r>
      <rPr>
        <sz val="9.5"/>
        <rFont val="Liberation Sans Narrow"/>
        <family val="2"/>
      </rPr>
      <t>Focus A T24, 600х600х20мм, Белый Frost, 28 шт./10,08 м2/упак.</t>
    </r>
  </si>
  <si>
    <r>
      <rPr>
        <sz val="9.5"/>
        <rFont val="Liberation Sans Narrow"/>
        <family val="2"/>
      </rPr>
      <t>Focus B, 600х600х20мм, Белый Frost, 20 шт./7,2 м2/упак.</t>
    </r>
  </si>
  <si>
    <r>
      <rPr>
        <sz val="9.5"/>
        <rFont val="Liberation Sans Narrow"/>
        <family val="2"/>
      </rPr>
      <t>Focus Dg, 1200х1200х20мм, Белый Frost,  6 шт./8,64 м2/упак.</t>
    </r>
  </si>
  <si>
    <r>
      <rPr>
        <sz val="9.5"/>
        <rFont val="Liberation Sans Narrow"/>
        <family val="2"/>
      </rPr>
      <t>Focus Dg, 1200х600х20мм, Белый Frost, 10 шт./7,2 м2/упак.</t>
    </r>
  </si>
  <si>
    <r>
      <rPr>
        <sz val="9.5"/>
        <rFont val="Liberation Sans Narrow"/>
        <family val="2"/>
      </rPr>
      <t>Focus Dg, 600х600х20мм, Белый Frost, 20 шт./7,2 м2/упак.</t>
    </r>
  </si>
  <si>
    <r>
      <rPr>
        <sz val="9.5"/>
        <rFont val="Liberation Sans Narrow"/>
        <family val="2"/>
      </rPr>
      <t>Focus Ds, 1200х1200х20мм, Белый Frost, 6 шт./8,64 м2/упак.</t>
    </r>
  </si>
  <si>
    <r>
      <rPr>
        <sz val="9.5"/>
        <rFont val="Liberation Sans Narrow"/>
        <family val="2"/>
      </rPr>
      <t>Focus Ds, 1200х600х20мм, Белый Frost, 10 шт./7,2 м2/упак.</t>
    </r>
  </si>
  <si>
    <r>
      <rPr>
        <sz val="9.5"/>
        <rFont val="Liberation Sans Narrow"/>
        <family val="2"/>
      </rPr>
      <t>Focus Ds, 600х600х20мм, Белый Frost, 20 шт./7,2 м2/упак.</t>
    </r>
  </si>
  <si>
    <r>
      <rPr>
        <sz val="9.5"/>
        <rFont val="Liberation Sans Narrow"/>
        <family val="2"/>
      </rPr>
      <t>Focus E T24, 1200х1200х20мм, Белый Frost, 6 шт./8,64 м2/упак.</t>
    </r>
  </si>
  <si>
    <r>
      <rPr>
        <sz val="9.5"/>
        <rFont val="Liberation Sans Narrow"/>
        <family val="2"/>
      </rPr>
      <t>Focus E T24, 1200х600х20мм, Белый Frost, 10 шт./7,2 м2/упак.</t>
    </r>
  </si>
  <si>
    <r>
      <rPr>
        <sz val="9.5"/>
        <rFont val="Liberation Sans Narrow"/>
        <family val="2"/>
      </rPr>
      <t>Focus E T24, 600х600х20мм, Белый Frost, 20 шт./7,2 м2/упак.</t>
    </r>
  </si>
  <si>
    <r>
      <rPr>
        <sz val="9.5"/>
        <rFont val="Liberation Sans Narrow"/>
        <family val="2"/>
      </rPr>
      <t>Focus Lp ND, 1200х600х20мм, Белый Frost, 10 шт./7,2 м2/упак.</t>
    </r>
  </si>
  <si>
    <r>
      <rPr>
        <sz val="9.5"/>
        <rFont val="Liberation Sans Narrow"/>
        <family val="2"/>
      </rPr>
      <t>Focus Lp ND, 600х600х20мм, Белый Frost, 20 шт./7,2 м2/упак.</t>
    </r>
  </si>
  <si>
    <r>
      <rPr>
        <sz val="9.5"/>
        <rFont val="Liberation Sans Narrow"/>
        <family val="2"/>
      </rPr>
      <t>Gedina A/T24 NE, 1200х1200х15мм, Белый 500, 8 шт./11,52 м2/упак.</t>
    </r>
  </si>
  <si>
    <r>
      <rPr>
        <sz val="9.5"/>
        <rFont val="Liberation Sans Narrow"/>
        <family val="2"/>
      </rPr>
      <t>Gedina A T15/T24 NE , 1200х600х15мм, Белый 500, 20 шт./14,40 м2/упак.</t>
    </r>
  </si>
  <si>
    <r>
      <rPr>
        <sz val="9.5"/>
        <rFont val="Liberation Sans Narrow"/>
        <family val="2"/>
      </rPr>
      <t>Gedina A T15/T24 NE , 600х600х15мм, Белый 500, 40 шт./14,40 м2/упак.</t>
    </r>
  </si>
  <si>
    <r>
      <rPr>
        <sz val="9.5"/>
        <rFont val="Liberation Sans Narrow"/>
        <family val="2"/>
      </rPr>
      <t>Gedina E/T24, 1200х1200х15мм, Белый 500, 10 шт./14,40 м2/упак.</t>
    </r>
  </si>
  <si>
    <r>
      <rPr>
        <sz val="9.5"/>
        <rFont val="Liberation Sans Narrow"/>
        <family val="2"/>
      </rPr>
      <t>Gedina E/T24, 1200х600х15мм, Белый 500, 16 шт./11,52 м2/упак.</t>
    </r>
  </si>
  <si>
    <r>
      <rPr>
        <sz val="9.5"/>
        <rFont val="Liberation Sans Narrow"/>
        <family val="2"/>
      </rPr>
      <t>Gedina E/T24, 600х600х15мм, Белый 500, 26 шт./9,36 м2/упак.</t>
    </r>
  </si>
  <si>
    <r>
      <rPr>
        <sz val="9.5"/>
        <rFont val="Liberation Sans Narrow"/>
        <family val="2"/>
      </rPr>
      <t>Industry Modus TAL-H A 1200х600х30мм, Серый, 10 шт./7,2м2/упак.</t>
    </r>
  </si>
  <si>
    <r>
      <rPr>
        <sz val="9.5"/>
        <rFont val="Liberation Sans Narrow"/>
        <family val="2"/>
      </rPr>
      <t>Industry Modus TAL-H A 1200х600х50мм, Серый, 6 шт./4,32м2/упак.</t>
    </r>
  </si>
  <si>
    <r>
      <rPr>
        <sz val="9.5"/>
        <rFont val="Liberation Sans Narrow"/>
        <family val="2"/>
      </rPr>
      <t>Industry Modus TAL-M A 1200х600х30мм, Черный, 10 шт./7,2м2/упак.</t>
    </r>
  </si>
  <si>
    <r>
      <rPr>
        <sz val="9.5"/>
        <rFont val="Liberation Sans Narrow"/>
        <family val="2"/>
      </rPr>
      <t>Industry Modus TAL-M A 1200х600х50мм, Черный, 6 шт./4,32м2/упак.</t>
    </r>
  </si>
  <si>
    <r>
      <rPr>
        <sz val="9.5"/>
        <rFont val="Liberation Sans Narrow"/>
        <family val="2"/>
      </rPr>
      <t>Industry Modus TAL-VA A 1200х600х30мм, Белый, 10 шт./7,2м2/упак.</t>
    </r>
  </si>
  <si>
    <r>
      <rPr>
        <sz val="9.5"/>
        <rFont val="Liberation Sans Narrow"/>
        <family val="2"/>
      </rPr>
      <t>Industry Modus TAL-VA A 1200х600х50мм, Белый, 6 шт./4,32м2/упак.</t>
    </r>
  </si>
  <si>
    <r>
      <rPr>
        <sz val="9.5"/>
        <rFont val="Liberation Sans Narrow"/>
        <family val="2"/>
      </rPr>
      <t>Solo Rectangle, 2400х1200х40мм, Белый Frost, 2 шт./5,76 м2/упак</t>
    </r>
  </si>
  <si>
    <r>
      <rPr>
        <sz val="9.5"/>
        <rFont val="Liberation Sans Narrow"/>
        <family val="2"/>
      </rPr>
      <t>Solo Square, 1200х1200х40мм, Белый Frost, 4 шт./5,76 м2/упак</t>
    </r>
  </si>
  <si>
    <r>
      <rPr>
        <sz val="9.5"/>
        <rFont val="Liberation Sans Narrow"/>
        <family val="2"/>
      </rPr>
      <t>Sombra A Т24 NE, 1200х600х15 мм, Черный, 20 шт./14,40 м2/упак.</t>
    </r>
  </si>
  <si>
    <r>
      <rPr>
        <sz val="9.5"/>
        <rFont val="Liberation Sans Narrow"/>
        <family val="2"/>
      </rPr>
      <t>Sombra A Т24 NE, 600х600х15 мм, Черный, 40 шт./14,40 м2/упак.</t>
    </r>
  </si>
  <si>
    <r>
      <rPr>
        <b/>
        <sz val="14.5"/>
        <rFont val="Liberation Sans Narrow"/>
        <family val="2"/>
      </rPr>
      <t>ПОДВЕСНАЯ СИСТЕМА ECOPHON</t>
    </r>
  </si>
  <si>
    <r>
      <rPr>
        <b/>
        <sz val="9.5"/>
        <rFont val="Liberation Sans Narrow"/>
        <family val="2"/>
      </rPr>
      <t>Подвесная система ECOPHON</t>
    </r>
  </si>
  <si>
    <r>
      <rPr>
        <sz val="9.5"/>
        <rFont val="Liberation Sans Narrow"/>
        <family val="2"/>
      </rPr>
      <t>Главная направляющая Connect T24 HD 7101, Белый 01, 3700 мм</t>
    </r>
  </si>
  <si>
    <r>
      <rPr>
        <sz val="9.5"/>
        <rFont val="Liberation Sans Narrow"/>
        <family val="2"/>
      </rPr>
      <t>Главная направляющая Connect T24 HD 7110, Матовый черный 01, 3700 мм</t>
    </r>
  </si>
  <si>
    <r>
      <rPr>
        <sz val="9.5"/>
        <rFont val="Liberation Sans Narrow"/>
        <family val="2"/>
      </rPr>
      <t>Главный профиль 3700мм 8101, белый</t>
    </r>
  </si>
  <si>
    <r>
      <rPr>
        <sz val="9.5"/>
        <rFont val="Liberation Sans Narrow"/>
        <family val="2"/>
      </rPr>
      <t>Главный профиль 3700мм 8160, черный матовый</t>
    </r>
  </si>
  <si>
    <r>
      <rPr>
        <sz val="9.5"/>
        <rFont val="Liberation Sans Narrow"/>
        <family val="2"/>
      </rPr>
      <t>Второстепенный профиль 1200 мм 8102, белый</t>
    </r>
  </si>
  <si>
    <r>
      <rPr>
        <sz val="9.5"/>
        <rFont val="Liberation Sans Narrow"/>
        <family val="2"/>
      </rPr>
      <t>Второстепенный профиль 1200 мм 8161, черный матовый</t>
    </r>
  </si>
  <si>
    <r>
      <rPr>
        <sz val="9.5"/>
        <rFont val="Liberation Sans Narrow"/>
        <family val="2"/>
      </rPr>
      <t>Второстепенный профиль 600 мм 8103, белый</t>
    </r>
  </si>
  <si>
    <r>
      <rPr>
        <sz val="9.5"/>
        <rFont val="Liberation Sans Narrow"/>
        <family val="2"/>
      </rPr>
      <t>Второстепенный профиль 600 мм 8162, черный матовый</t>
    </r>
  </si>
  <si>
    <r>
      <rPr>
        <sz val="9.5"/>
        <rFont val="Liberation Sans Narrow"/>
        <family val="2"/>
      </rPr>
      <t>Пристенный уголок Connect 8116, Белый 01, 3000 мм</t>
    </r>
  </si>
  <si>
    <r>
      <rPr>
        <sz val="9.5"/>
        <rFont val="Liberation Sans Narrow"/>
        <family val="2"/>
      </rPr>
      <t>Пристенный уголок Connect 8176, Матовый черный 01, 3000 мм</t>
    </r>
  </si>
  <si>
    <r>
      <rPr>
        <sz val="9.5"/>
        <rFont val="Liberation Sans Narrow"/>
        <family val="2"/>
      </rPr>
      <t>Прямой нерегулируемый кронштейн 1012, Н= 44 мм</t>
    </r>
  </si>
  <si>
    <r>
      <rPr>
        <sz val="9.5"/>
        <rFont val="Liberation Sans Narrow"/>
        <family val="2"/>
      </rPr>
      <t>Регулируемый прямой крепежный кронштейн Connect 1024, 185-220 мм</t>
    </r>
  </si>
  <si>
    <r>
      <rPr>
        <sz val="9.5"/>
        <rFont val="Liberation Sans Narrow"/>
        <family val="2"/>
      </rPr>
      <t>Регулируемый подвес Connect 3765, 330-600 мм</t>
    </r>
  </si>
  <si>
    <r>
      <rPr>
        <sz val="9.5"/>
        <rFont val="Liberation Sans Narrow"/>
        <family val="2"/>
      </rPr>
      <t>Регулируемый подвес Connect 3766, 540 -1000 мм</t>
    </r>
  </si>
  <si>
    <r>
      <rPr>
        <sz val="9.5"/>
        <rFont val="Liberation Sans Narrow"/>
        <family val="2"/>
      </rPr>
      <t>Клипса подвеса 1286</t>
    </r>
  </si>
  <si>
    <r>
      <rPr>
        <sz val="9.5"/>
        <rFont val="Liberation Sans Narrow"/>
        <family val="2"/>
      </rPr>
      <t>Пристенный кронштейн 0524</t>
    </r>
  </si>
  <si>
    <r>
      <rPr>
        <sz val="9.5"/>
        <rFont val="Liberation Sans Narrow"/>
        <family val="2"/>
      </rPr>
      <t>Профиль Space bar, 2450 мм, 0570</t>
    </r>
  </si>
  <si>
    <r>
      <rPr>
        <sz val="9.5"/>
        <rFont val="Liberation Sans Narrow"/>
        <family val="2"/>
      </rPr>
      <t>Пристенный кронштейн 0525</t>
    </r>
  </si>
  <si>
    <r>
      <rPr>
        <sz val="9.5"/>
        <rFont val="Liberation Sans Narrow"/>
        <family val="2"/>
      </rPr>
      <t>Фиксирующая пружина 0553 для Space bar</t>
    </r>
  </si>
  <si>
    <r>
      <rPr>
        <sz val="9.5"/>
        <rFont val="Liberation Sans Narrow"/>
        <family val="2"/>
      </rPr>
      <t>Поддерживающая клипса Connect DG20 0547</t>
    </r>
  </si>
  <si>
    <r>
      <rPr>
        <sz val="9.5"/>
        <rFont val="Liberation Sans Narrow"/>
        <family val="2"/>
      </rPr>
      <t>Клипса Perimeter tile clip 1080</t>
    </r>
  </si>
  <si>
    <r>
      <rPr>
        <sz val="9.5"/>
        <rFont val="Liberation Sans Narrow"/>
        <family val="2"/>
      </rPr>
      <t>Торцевой профиль Connect 0465, Белый 01, 2700 мм</t>
    </r>
  </si>
  <si>
    <r>
      <rPr>
        <sz val="9.5"/>
        <rFont val="Liberation Sans Narrow"/>
        <family val="2"/>
      </rPr>
      <t>Торцевой профиль Connect 0565, Матовый черный 01, 2700 мм</t>
    </r>
  </si>
  <si>
    <r>
      <rPr>
        <sz val="9.5"/>
        <rFont val="Liberation Sans Narrow"/>
        <family val="2"/>
      </rPr>
      <t>Уголок 0032</t>
    </r>
  </si>
  <si>
    <r>
      <rPr>
        <sz val="9.5"/>
        <rFont val="Liberation Sans Narrow"/>
        <family val="2"/>
      </rPr>
      <t>Крепёжная пластина 0214</t>
    </r>
  </si>
  <si>
    <r>
      <rPr>
        <sz val="9.5"/>
        <rFont val="Liberation Sans Narrow"/>
        <family val="2"/>
      </rPr>
      <t>Уголок 0900</t>
    </r>
  </si>
  <si>
    <r>
      <rPr>
        <sz val="9.5"/>
        <rFont val="Liberation Sans Narrow"/>
        <family val="2"/>
      </rPr>
      <t>Универсальный уголок Connect L-coupling 1040</t>
    </r>
  </si>
  <si>
    <r>
      <rPr>
        <sz val="9.5"/>
        <rFont val="Liberation Sans Narrow"/>
        <family val="2"/>
      </rPr>
      <t>Литой анкер 2170 для Solo</t>
    </r>
  </si>
  <si>
    <r>
      <rPr>
        <sz val="9.5"/>
        <rFont val="Liberation Sans Narrow"/>
        <family val="2"/>
      </rPr>
      <t>Тросиковый подвес 2174 для Solo</t>
    </r>
  </si>
  <si>
    <r>
      <rPr>
        <sz val="9.5"/>
        <rFont val="Liberation Sans Narrow"/>
        <family val="2"/>
      </rPr>
      <t>Профиль Connect F-Trim 10 0730, Белый 01, 2000 мм</t>
    </r>
  </si>
  <si>
    <r>
      <rPr>
        <sz val="9.5"/>
        <rFont val="Liberation Sans Narrow"/>
        <family val="2"/>
      </rPr>
      <t>Профиль Connect F-Trim 30 0889, Белый 01, 3000 мм</t>
    </r>
  </si>
  <si>
    <r>
      <rPr>
        <sz val="9.5"/>
        <rFont val="Liberation Sans Narrow"/>
        <family val="2"/>
      </rPr>
      <t>Профиль Connect F-Trim 15 0896, Белый 01, 2400 мм</t>
    </r>
  </si>
  <si>
    <r>
      <rPr>
        <sz val="9.5"/>
        <rFont val="Liberation Sans Narrow"/>
        <family val="2"/>
      </rPr>
      <t>Торцевой профиль Connect 0532, Белый 01,3000 мм</t>
    </r>
  </si>
  <si>
    <t>Комплектующие для панелей Саундлюкс</t>
  </si>
  <si>
    <t>Ед.изм.</t>
  </si>
  <si>
    <t>Цена, руб./м2</t>
  </si>
  <si>
    <t>Цена, руб./ед.</t>
  </si>
  <si>
    <t>Шуманет-БМ, минплита НГ, 1200х600х50 мм, в упаковке 4шт. / 2,88м2 / 0,144м3</t>
  </si>
  <si>
    <t>Вибросил, картридж 290 мл., силиконовый нейтральный герметик</t>
  </si>
  <si>
    <t>ЗИПС-Вектор, сэндвич-панель 1200х600х40 мм (0,72м2/шт.) с комплектом крепежа</t>
  </si>
  <si>
    <t>Комплектующие для САУНДЛАЙН-АКУСТИКА НГ</t>
  </si>
  <si>
    <t>Акуфлекс, подложка под напольное покрытие, рулон 15х1м, толщ. 4мм</t>
  </si>
  <si>
    <t>Шумостоп-С2, стеклоплита 1250х600х20, в упаковке 10шт. / 7,5 м2 / 0,15м3</t>
  </si>
  <si>
    <t>тел. (8212) 446-220,    +7-922-083-73-35</t>
  </si>
  <si>
    <t>ЗИПС-III-Ультра, сэндвич-панель 1200х600х120 мм (0,72м2/шт.) с комплектом крепежа</t>
  </si>
  <si>
    <t>шт.</t>
  </si>
  <si>
    <t>ЗИПС-III-Ультра, сэндвич-панель 1200х600х43 мм (0,72м2/шт.) с комплектом крепежа</t>
  </si>
  <si>
    <r>
      <rPr>
        <b/>
        <sz val="9.5"/>
        <rFont val="Liberation Sans Narrow"/>
        <family val="2"/>
      </rPr>
      <t>по запросу от 1 м</t>
    </r>
    <r>
      <rPr>
        <b/>
        <sz val="9.5"/>
        <rFont val="Arial Narrow"/>
        <family val="2"/>
        <charset val="204"/>
      </rPr>
      <t>³</t>
    </r>
  </si>
  <si>
    <t>Шуманет-СК Neo, стеклоплита 1250х600х50, в упаковке 10шт. / 7,5м2 / 0,375м3</t>
  </si>
  <si>
    <t>упак.</t>
  </si>
  <si>
    <t>Шуманет-ЭКО, стеклоплита НГ, 1250х600х50, в упаковке 4шт. / 3,0м2 / 0,15м3</t>
  </si>
  <si>
    <t>ЗИПС Бескаркасная звукоизолирующая панельная система (для стен и потолков)</t>
  </si>
  <si>
    <r>
      <t xml:space="preserve">Саундлайн-ПГП Супер, панель 1200х600х23мм (0,72м2/шт.) </t>
    </r>
    <r>
      <rPr>
        <b/>
        <sz val="9.5"/>
        <rFont val="Liberation Sans Narrow"/>
        <charset val="204"/>
      </rPr>
      <t>для стен и потолков.</t>
    </r>
  </si>
  <si>
    <t>Звукоизоляционные панели с кварцевым наполнителем</t>
  </si>
  <si>
    <t>Звукоизоляционная панель ticho Slim, 1200x800x8 мм (0,96 м2)</t>
  </si>
  <si>
    <t>Звукоизоляционная панель ticho Standart, 1200x800x12 мм (0,96 м2)</t>
  </si>
  <si>
    <t>Звукоизоляционная панель ticho Praktisch, 1200x800x15 мм (0,96 м2)</t>
  </si>
  <si>
    <t>Звукоизоляционная панель ticho Praktisch Slot, 1220x820x15 мм (1,00 м2)</t>
  </si>
  <si>
    <t>Звукоизоляционная панель ticho Effektiv, 1200x800x17 (0,96 м2) мм</t>
  </si>
  <si>
    <t>Звукоизоляционная панель ticho Effektiv Slot, 1220x820x17 (1,00 м2) мм</t>
  </si>
  <si>
    <t>Звукоизоляционная панель ticho Kill Sound, 1200x800x21 мм (0,96 м2)</t>
  </si>
  <si>
    <t>Звукоизоляционная панель ticho Kill Sound Slot, 1200x800x21 мм (0,96 м2)</t>
  </si>
  <si>
    <t>Звукоизоляционная панель ticho Kill Bass, 1200x800x25 мм (0,96 м2)</t>
  </si>
  <si>
    <t>Звукоизоляционная панель ticho Kill Slot, 1200x800x25 мм (0,96 м2)</t>
  </si>
  <si>
    <t>Лента самоклеящаяся TichoBand 38 40000x0,50 м (0,2 кг) для проклейки швов на панелях</t>
  </si>
  <si>
    <t>Звукоизоляционные маты</t>
  </si>
  <si>
    <t>Полотно шумопоглощающее TichoZvukoizol, 1400x5000x14 мм (7,0 м2)</t>
  </si>
  <si>
    <t>Вибростек-М-100, рулон 30 м, ширина 100 мм, толщина 4 мм (3м2) шумоизоляция стыков</t>
  </si>
  <si>
    <t>Вибростек-М-150, рулон 30 м, ширина 150 мм, толщина 4 мм (4,5м2) шумоизоляция стыков</t>
  </si>
  <si>
    <t>Гипсоволокно КНАУФ 1200х2500х12,5 мм ФК (влагостойкое) (3,0 м / лист)</t>
  </si>
  <si>
    <t>Гипсокартон КНАУФ 1200х2500х12,5 мм (влагостойкий) (3,0 м2/лист)</t>
  </si>
  <si>
    <t xml:space="preserve">Полиуретан. эластомер для виброизоляцииSYLOMER </t>
  </si>
  <si>
    <t>Комплектующие для DECOUSTIC</t>
  </si>
  <si>
    <t>SOUNDBOARD Панели из древесного волокна на цемент. связующем (Россия)</t>
  </si>
  <si>
    <t>HERADESIGN Панели из древесного волокна на магнезит.связующ (Австрия)</t>
  </si>
  <si>
    <t>Дверь звукоизоляционная AG40 (40дБ), комплект, CPL-пластик Выбеленный Дуб, размер полотна 2000x798 мм</t>
  </si>
  <si>
    <t>Металлический профиль для каркасных систем</t>
  </si>
  <si>
    <t>Профиль КНАУФ ПП 27/60, длина 3 м</t>
  </si>
  <si>
    <t>Профиль КНАУФ ПП 27/28, длина 3 м</t>
  </si>
  <si>
    <t>Профиль КНАУФ ПП 50/40, длина 3 м</t>
  </si>
  <si>
    <t>Профиль КНАУФ ПП 75/40, длина 3 м</t>
  </si>
  <si>
    <t>Профиль КНАУФ ПП 100/40, длина 3 м</t>
  </si>
  <si>
    <t>Профиль КНАУФ ПС 100/50, длина 3 м</t>
  </si>
  <si>
    <t>Профиль КНАУФ ПС 75/50, длина 3 м</t>
  </si>
  <si>
    <t>Удлинитель профиля ПП 27х60</t>
  </si>
  <si>
    <t>Лента вибродемпфирующая Standardish Tape 12000x50</t>
  </si>
  <si>
    <t>рул.</t>
  </si>
  <si>
    <t>Лента вибродемпфирующая для профиля</t>
  </si>
  <si>
    <t xml:space="preserve">Подрозетник звукоизоляционный tichoblock 1 </t>
  </si>
  <si>
    <t>Подрозетник звукоизоляционный tichoblock 2</t>
  </si>
  <si>
    <t>Подрозетник звукоизоляционный tichoblock 3</t>
  </si>
  <si>
    <t>Подрозетник звукоизоляционный tichoblock 4</t>
  </si>
  <si>
    <t>Подрозетник звукоизоляционный tichoblock 5</t>
  </si>
  <si>
    <t>-</t>
  </si>
  <si>
    <t>Дополнительные материалы</t>
  </si>
  <si>
    <t>Монтажная пена АЛЬТАФОМ ПРОФИ Всесезонная 750 мл.</t>
  </si>
  <si>
    <t>Дюбель с шурупом 6х40 мм с воротником под молоток</t>
  </si>
  <si>
    <r>
      <rPr>
        <b/>
        <sz val="9.5"/>
        <rFont val="Liberation Sans Narrow"/>
        <charset val="204"/>
      </rPr>
      <t>Саморез 4,2х13</t>
    </r>
    <r>
      <rPr>
        <sz val="9.5"/>
        <rFont val="Liberation Sans Narrow"/>
      </rPr>
      <t xml:space="preserve"> пресс шайба, острый, оцинкованный, нефасованные.</t>
    </r>
  </si>
  <si>
    <t>Саморез Лтфга ГКЛ + металл 3,5х35 мм.</t>
  </si>
  <si>
    <t>Перчатки обливные</t>
  </si>
  <si>
    <t>Респиратор</t>
  </si>
  <si>
    <t>Лезвия для ножа</t>
  </si>
  <si>
    <t>Пистолеты для пакетированных герметиков</t>
  </si>
  <si>
    <t>Пистолет для герметика 310</t>
  </si>
  <si>
    <t>Пистолет для герметика 600</t>
  </si>
  <si>
    <t>Акуфлор-S30, стеклоплита НГ, 1000х600х30мм, в упак. 8шт. / 4,8м2 / 0,096м3</t>
  </si>
  <si>
    <t>ЗИПС-ПОЛ Вектор, сэндвич-панель 1200х600х45 мм (0,72м2/шт.)</t>
  </si>
  <si>
    <t>ЗИПС-ПОЛ Модуль, сэндвич-панель 1200х600х75 мм (0,72м2/шт.)</t>
  </si>
  <si>
    <t>Звукоизоляционная самоклеющаяся мембрана</t>
  </si>
  <si>
    <t>Звукоизоляционная мембрана Standartish ES1 (2500x1200х1,4 мм), 3 м2</t>
  </si>
  <si>
    <t>Звукоизоляционная мембрана Standartish ES2 (2500x1200х2,4 мм), 3 м3</t>
  </si>
  <si>
    <t>Звукоизоляционная мембрана Standartish ES3 (2500x1200х3,2 мм), 3 м4</t>
  </si>
  <si>
    <t>Профессиональный герметик AKFIX AS606 (силиконакриловый герметик, 310 мл.</t>
  </si>
  <si>
    <t>Клей акустический, 1 литр</t>
  </si>
  <si>
    <t>Клей акустический, 10 литров</t>
  </si>
  <si>
    <t>Виброподвес TichoPro 47</t>
  </si>
  <si>
    <t>Виброподвес TichoPro 60</t>
  </si>
  <si>
    <t>в нашем прайсе позиции</t>
  </si>
  <si>
    <t>тел. (8332) 322-707, 322-708, 322-709,     +7-922-977-74-56</t>
  </si>
  <si>
    <t xml:space="preserve">       г. Киров, ул.Воровского, д. 71, ТЦ "Росинка-Башня", 4 этаж</t>
  </si>
  <si>
    <t xml:space="preserve">       РК, г.Сыктывкар, ул. Первомайская, д.62, ТД  4 этаж, офис 409Б</t>
  </si>
  <si>
    <t xml:space="preserve">        г. Киров, ул.Воровского, д. 71, ТЦ "Росинка-Башня", 4 этаж</t>
  </si>
  <si>
    <t xml:space="preserve">   тел. (8332) 322-707, 322-708, 322-709,     +7-922-977-74-56</t>
  </si>
  <si>
    <t>Декоративно-акустические материалы</t>
  </si>
  <si>
    <t>Саундлюкс-Техно панель акустическая негорючая (КМО)</t>
  </si>
  <si>
    <r>
      <rPr>
        <b/>
        <sz val="9.5"/>
        <rFont val="Liberation Sans Narrow"/>
        <family val="2"/>
      </rPr>
      <t>Цена, руб./м3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</si>
</sst>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#,##0.00;[Red]#,##0.00"/>
  </numFmts>
  <fonts count="33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b/>
      <sz val="14.5"/>
      <name val="Liberation Sans Narrow"/>
    </font>
    <font>
      <sz val="9.5"/>
      <name val="Liberation Sans Narrow"/>
    </font>
    <font>
      <b/>
      <sz val="9.5"/>
      <name val="Liberation Sans Narrow"/>
    </font>
    <font>
      <sz val="9.5"/>
      <color rgb="FF000000"/>
      <name val="Liberation Sans Narrow"/>
      <family val="2"/>
    </font>
    <font>
      <sz val="9.5"/>
      <color rgb="FFFF0000"/>
      <name val="Liberation Sans Narrow"/>
      <family val="2"/>
    </font>
    <font>
      <b/>
      <sz val="14"/>
      <name val="Liberation Sans Narrow"/>
    </font>
    <font>
      <b/>
      <i/>
      <sz val="9.5"/>
      <name val="Liberation Sans Narrow"/>
    </font>
    <font>
      <sz val="8.5"/>
      <name val="Liberation Sans Narrow"/>
    </font>
    <font>
      <b/>
      <sz val="14.5"/>
      <name val="Liberation Sans Narrow"/>
      <family val="2"/>
    </font>
    <font>
      <sz val="9.5"/>
      <name val="Liberation Sans Narrow"/>
      <family val="2"/>
    </font>
    <font>
      <b/>
      <sz val="9.5"/>
      <name val="Liberation Sans Narrow"/>
      <family val="2"/>
    </font>
    <font>
      <b/>
      <sz val="14"/>
      <name val="Liberation Sans Narrow"/>
      <family val="2"/>
    </font>
    <font>
      <b/>
      <i/>
      <sz val="9.5"/>
      <color rgb="FF006FC0"/>
      <name val="Liberation Sans Narrow"/>
      <family val="2"/>
    </font>
    <font>
      <u/>
      <sz val="9.5"/>
      <color rgb="FFFF0000"/>
      <name val="Liberation Sans Narrow"/>
      <family val="2"/>
    </font>
    <font>
      <u/>
      <sz val="9.5"/>
      <name val="Liberation Sans Narrow"/>
      <family val="2"/>
    </font>
    <font>
      <sz val="8.5"/>
      <name val="Liberation Sans Narrow"/>
      <family val="2"/>
    </font>
    <font>
      <b/>
      <sz val="9.5"/>
      <color rgb="FFFF0000"/>
      <name val="Liberation Sans Narrow"/>
      <family val="2"/>
    </font>
    <font>
      <sz val="10"/>
      <color rgb="FF000000"/>
      <name val="Times New Roman"/>
      <family val="1"/>
      <charset val="204"/>
    </font>
    <font>
      <b/>
      <sz val="9.5"/>
      <name val="Liberation Sans Narrow"/>
      <charset val="204"/>
    </font>
    <font>
      <sz val="9.5"/>
      <color rgb="FFFF0000"/>
      <name val="Liberation Sans Narrow"/>
    </font>
    <font>
      <b/>
      <sz val="9.5"/>
      <name val="Arial Narrow"/>
      <family val="2"/>
      <charset val="204"/>
    </font>
    <font>
      <b/>
      <sz val="9.5"/>
      <color rgb="FF000000"/>
      <name val="Liberation Sans Narrow"/>
      <charset val="204"/>
    </font>
    <font>
      <sz val="9.5"/>
      <name val="Liberation Sans Narrow"/>
      <charset val="204"/>
    </font>
    <font>
      <sz val="9.5"/>
      <color theme="1" tint="4.9989318521683403E-2"/>
      <name val="Liberation Sans Narrow"/>
      <family val="2"/>
    </font>
    <font>
      <b/>
      <sz val="9.5"/>
      <color rgb="FFFF0000"/>
      <name val="Liberation Sans Narrow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6"/>
      <name val="Liberation Sans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6A00"/>
      </patternFill>
    </fill>
    <fill>
      <patternFill patternType="solid">
        <fgColor rgb="FFB7CCE4"/>
      </patternFill>
    </fill>
    <fill>
      <patternFill patternType="solid">
        <fgColor rgb="FFC5D9F1"/>
      </patternFill>
    </fill>
    <fill>
      <patternFill patternType="solid">
        <fgColor rgb="FFFFC000"/>
      </patternFill>
    </fill>
    <fill>
      <patternFill patternType="solid">
        <fgColor rgb="FFB6DEE8"/>
      </patternFill>
    </fill>
    <fill>
      <patternFill patternType="solid">
        <fgColor rgb="FFFCD5B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4" fontId="5" fillId="0" borderId="1" xfId="0" applyNumberFormat="1" applyFont="1" applyFill="1" applyBorder="1" applyAlignment="1">
      <alignment horizontal="left" vertical="top" indent="3" shrinkToFit="1"/>
    </xf>
    <xf numFmtId="0" fontId="3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left" vertical="top" indent="4" shrinkToFit="1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top" wrapText="1" indent="2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 indent="1"/>
    </xf>
    <xf numFmtId="2" fontId="5" fillId="0" borderId="1" xfId="0" applyNumberFormat="1" applyFont="1" applyFill="1" applyBorder="1" applyAlignment="1">
      <alignment horizontal="left" vertical="top" indent="2" shrinkToFit="1"/>
    </xf>
    <xf numFmtId="4" fontId="5" fillId="0" borderId="1" xfId="0" applyNumberFormat="1" applyFont="1" applyFill="1" applyBorder="1" applyAlignment="1">
      <alignment horizontal="left" vertical="top" indent="2" shrinkToFit="1"/>
    </xf>
    <xf numFmtId="0" fontId="4" fillId="5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left" vertical="top" indent="2" shrinkToFit="1"/>
    </xf>
    <xf numFmtId="0" fontId="0" fillId="0" borderId="4" xfId="0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left" wrapText="1"/>
    </xf>
    <xf numFmtId="0" fontId="4" fillId="7" borderId="1" xfId="0" applyFont="1" applyFill="1" applyBorder="1" applyAlignment="1">
      <alignment horizontal="right" vertical="top" wrapText="1" indent="1"/>
    </xf>
    <xf numFmtId="0" fontId="3" fillId="0" borderId="1" xfId="0" applyFont="1" applyFill="1" applyBorder="1" applyAlignment="1">
      <alignment horizontal="right" vertical="top" wrapText="1" indent="4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4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165" fontId="6" fillId="0" borderId="1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shrinkToFi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wrapText="1"/>
    </xf>
    <xf numFmtId="0" fontId="20" fillId="6" borderId="1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top"/>
    </xf>
    <xf numFmtId="0" fontId="3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shrinkToFit="1"/>
    </xf>
    <xf numFmtId="0" fontId="6" fillId="8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horizontal="center" vertical="center" shrinkToFit="1"/>
    </xf>
    <xf numFmtId="2" fontId="5" fillId="8" borderId="1" xfId="0" applyNumberFormat="1" applyFont="1" applyFill="1" applyBorder="1" applyAlignment="1">
      <alignment horizontal="center" vertical="center" shrinkToFit="1"/>
    </xf>
    <xf numFmtId="164" fontId="6" fillId="8" borderId="1" xfId="0" applyNumberFormat="1" applyFont="1" applyFill="1" applyBorder="1" applyAlignment="1">
      <alignment horizontal="center" vertical="center" shrinkToFit="1"/>
    </xf>
    <xf numFmtId="2" fontId="21" fillId="8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4" fontId="5" fillId="8" borderId="1" xfId="0" applyNumberFormat="1" applyFont="1" applyFill="1" applyBorder="1" applyAlignment="1">
      <alignment horizontal="center" shrinkToFit="1"/>
    </xf>
    <xf numFmtId="2" fontId="5" fillId="8" borderId="1" xfId="0" applyNumberFormat="1" applyFont="1" applyFill="1" applyBorder="1" applyAlignment="1">
      <alignment horizontal="center" shrinkToFit="1"/>
    </xf>
    <xf numFmtId="0" fontId="3" fillId="8" borderId="1" xfId="0" applyFont="1" applyFill="1" applyBorder="1" applyAlignment="1">
      <alignment horizontal="center" vertical="top" wrapText="1"/>
    </xf>
    <xf numFmtId="0" fontId="20" fillId="8" borderId="1" xfId="0" applyFont="1" applyFill="1" applyBorder="1" applyAlignment="1">
      <alignment horizontal="center" vertical="center" wrapText="1"/>
    </xf>
    <xf numFmtId="2" fontId="23" fillId="8" borderId="1" xfId="0" applyNumberFormat="1" applyFont="1" applyFill="1" applyBorder="1" applyAlignment="1">
      <alignment horizontal="center" shrinkToFit="1"/>
    </xf>
    <xf numFmtId="4" fontId="23" fillId="8" borderId="1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center" vertical="top" wrapText="1"/>
    </xf>
    <xf numFmtId="2" fontId="5" fillId="8" borderId="10" xfId="0" applyNumberFormat="1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left" vertical="top" wrapText="1"/>
    </xf>
    <xf numFmtId="2" fontId="5" fillId="0" borderId="12" xfId="0" applyNumberFormat="1" applyFont="1" applyFill="1" applyBorder="1" applyAlignment="1">
      <alignment horizontal="center" vertical="center" shrinkToFit="1"/>
    </xf>
    <xf numFmtId="0" fontId="24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center" vertical="top" wrapText="1"/>
    </xf>
    <xf numFmtId="4" fontId="25" fillId="8" borderId="1" xfId="0" applyNumberFormat="1" applyFont="1" applyFill="1" applyBorder="1" applyAlignment="1">
      <alignment horizontal="center" vertical="center" shrinkToFit="1"/>
    </xf>
    <xf numFmtId="164" fontId="6" fillId="8" borderId="1" xfId="0" applyNumberFormat="1" applyFont="1" applyFill="1" applyBorder="1" applyAlignment="1">
      <alignment horizontal="center" shrinkToFit="1"/>
    </xf>
    <xf numFmtId="165" fontId="6" fillId="8" borderId="1" xfId="0" applyNumberFormat="1" applyFont="1" applyFill="1" applyBorder="1" applyAlignment="1">
      <alignment horizontal="center" shrinkToFit="1"/>
    </xf>
    <xf numFmtId="0" fontId="3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2" fontId="26" fillId="8" borderId="1" xfId="0" applyNumberFormat="1" applyFont="1" applyFill="1" applyBorder="1" applyAlignment="1">
      <alignment horizontal="center" vertical="center" shrinkToFit="1"/>
    </xf>
    <xf numFmtId="4" fontId="26" fillId="8" borderId="1" xfId="0" applyNumberFormat="1" applyFont="1" applyFill="1" applyBorder="1" applyAlignment="1">
      <alignment horizontal="center" vertical="center" shrinkToFit="1"/>
    </xf>
    <xf numFmtId="4" fontId="21" fillId="8" borderId="1" xfId="0" applyNumberFormat="1" applyFont="1" applyFill="1" applyBorder="1" applyAlignment="1">
      <alignment horizontal="center" shrinkToFit="1"/>
    </xf>
    <xf numFmtId="0" fontId="3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2" fontId="27" fillId="0" borderId="0" xfId="0" applyNumberFormat="1" applyFont="1" applyFill="1" applyBorder="1" applyAlignment="1">
      <alignment horizontal="right" vertical="top"/>
    </xf>
    <xf numFmtId="0" fontId="0" fillId="8" borderId="0" xfId="0" applyFill="1" applyBorder="1" applyAlignment="1">
      <alignment horizontal="left" vertical="top"/>
    </xf>
    <xf numFmtId="0" fontId="19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26" fillId="8" borderId="2" xfId="0" applyFont="1" applyFill="1" applyBorder="1" applyAlignment="1">
      <alignment horizontal="left" vertical="center" wrapText="1"/>
    </xf>
    <xf numFmtId="0" fontId="26" fillId="8" borderId="4" xfId="0" applyFont="1" applyFill="1" applyBorder="1" applyAlignment="1">
      <alignment horizontal="left" vertical="center" wrapText="1"/>
    </xf>
    <xf numFmtId="2" fontId="29" fillId="0" borderId="0" xfId="0" applyNumberFormat="1" applyFont="1" applyFill="1" applyBorder="1" applyAlignment="1">
      <alignment horizontal="left" vertical="center"/>
    </xf>
    <xf numFmtId="2" fontId="28" fillId="0" borderId="0" xfId="0" applyNumberFormat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21" fillId="8" borderId="2" xfId="0" applyFont="1" applyFill="1" applyBorder="1" applyAlignment="1">
      <alignment horizontal="left" vertical="top" wrapText="1"/>
    </xf>
    <xf numFmtId="0" fontId="21" fillId="8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2" fontId="3" fillId="8" borderId="2" xfId="0" applyNumberFormat="1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left" vertical="top" wrapText="1"/>
    </xf>
    <xf numFmtId="0" fontId="20" fillId="8" borderId="4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2" fontId="5" fillId="8" borderId="13" xfId="0" applyNumberFormat="1" applyFont="1" applyFill="1" applyBorder="1" applyAlignment="1">
      <alignment horizontal="center" vertical="center" shrinkToFit="1"/>
    </xf>
    <xf numFmtId="2" fontId="5" fillId="8" borderId="14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 indent="4"/>
    </xf>
    <xf numFmtId="0" fontId="4" fillId="5" borderId="4" xfId="0" applyFont="1" applyFill="1" applyBorder="1" applyAlignment="1">
      <alignment horizontal="left" vertical="top" wrapText="1" indent="4"/>
    </xf>
    <xf numFmtId="0" fontId="30" fillId="0" borderId="0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left" vertical="center" wrapText="1"/>
    </xf>
    <xf numFmtId="0" fontId="32" fillId="6" borderId="3" xfId="0" applyFont="1" applyFill="1" applyBorder="1" applyAlignment="1">
      <alignment horizontal="left" vertical="center" wrapText="1"/>
    </xf>
    <xf numFmtId="0" fontId="32" fillId="6" borderId="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1.jpeg"/><Relationship Id="rId7" Type="http://schemas.openxmlformats.org/officeDocument/2006/relationships/image" Target="../media/image5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Relationship Id="rId9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410621</xdr:colOff>
      <xdr:row>5</xdr:row>
      <xdr:rowOff>190501</xdr:rowOff>
    </xdr:from>
    <xdr:to>
      <xdr:col>5</xdr:col>
      <xdr:colOff>11358</xdr:colOff>
      <xdr:row>6</xdr:row>
      <xdr:rowOff>323850</xdr:rowOff>
    </xdr:to>
    <xdr:pic>
      <xdr:nvPicPr>
        <xdr:cNvPr id="7" name="Рисунок 6" descr="https://img1.dp.ru/images/article/2017/03/09/83010b3f-3fb0-4743-aa83-5bfdbbd455f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65"/>
        <a:stretch/>
      </xdr:blipFill>
      <xdr:spPr bwMode="auto">
        <a:xfrm>
          <a:off x="5620796" y="1162051"/>
          <a:ext cx="1296187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885825</xdr:colOff>
      <xdr:row>63</xdr:row>
      <xdr:rowOff>76199</xdr:rowOff>
    </xdr:from>
    <xdr:to>
      <xdr:col>1</xdr:col>
      <xdr:colOff>1581379</xdr:colOff>
      <xdr:row>63</xdr:row>
      <xdr:rowOff>495300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5897" t="1" b="4613"/>
        <a:stretch/>
      </xdr:blipFill>
      <xdr:spPr>
        <a:xfrm>
          <a:off x="3676650" y="14011274"/>
          <a:ext cx="695554" cy="419101"/>
        </a:xfrm>
        <a:prstGeom prst="rect">
          <a:avLst/>
        </a:prstGeom>
      </xdr:spPr>
    </xdr:pic>
    <xdr:clientData/>
  </xdr:twoCellAnchor>
  <xdr:twoCellAnchor editAs="oneCell">
    <xdr:from>
      <xdr:col>1</xdr:col>
      <xdr:colOff>1758949</xdr:colOff>
      <xdr:row>4</xdr:row>
      <xdr:rowOff>178865</xdr:rowOff>
    </xdr:from>
    <xdr:to>
      <xdr:col>3</xdr:col>
      <xdr:colOff>257175</xdr:colOff>
      <xdr:row>6</xdr:row>
      <xdr:rowOff>371476</xdr:rowOff>
    </xdr:to>
    <xdr:pic>
      <xdr:nvPicPr>
        <xdr:cNvPr id="8" name="Рисунок 7" descr="https://www.isoforta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774" y="912290"/>
          <a:ext cx="917576" cy="659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542925</xdr:colOff>
      <xdr:row>77</xdr:row>
      <xdr:rowOff>38100</xdr:rowOff>
    </xdr:from>
    <xdr:to>
      <xdr:col>1</xdr:col>
      <xdr:colOff>1112917</xdr:colOff>
      <xdr:row>77</xdr:row>
      <xdr:rowOff>447675</xdr:rowOff>
    </xdr:to>
    <xdr:pic>
      <xdr:nvPicPr>
        <xdr:cNvPr id="9" name="Рисунок 8" descr="https://www.isoforta.ru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8183225"/>
          <a:ext cx="569992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171450</xdr:colOff>
      <xdr:row>0</xdr:row>
      <xdr:rowOff>238124</xdr:rowOff>
    </xdr:from>
    <xdr:ext cx="2076450" cy="670515"/>
    <xdr:pic>
      <xdr:nvPicPr>
        <xdr:cNvPr id="10" name="image1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238124"/>
          <a:ext cx="2076450" cy="670515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6</xdr:row>
      <xdr:rowOff>37931</xdr:rowOff>
    </xdr:from>
    <xdr:to>
      <xdr:col>1</xdr:col>
      <xdr:colOff>1409700</xdr:colOff>
      <xdr:row>7</xdr:row>
      <xdr:rowOff>188067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1247606"/>
          <a:ext cx="4143375" cy="54066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19050</xdr:rowOff>
    </xdr:from>
    <xdr:to>
      <xdr:col>0</xdr:col>
      <xdr:colOff>213447</xdr:colOff>
      <xdr:row>1</xdr:row>
      <xdr:rowOff>200024</xdr:rowOff>
    </xdr:to>
    <xdr:pic>
      <xdr:nvPicPr>
        <xdr:cNvPr id="13" name="Рисунок 12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85725" y="30480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3</xdr:row>
      <xdr:rowOff>133350</xdr:rowOff>
    </xdr:from>
    <xdr:to>
      <xdr:col>0</xdr:col>
      <xdr:colOff>232497</xdr:colOff>
      <xdr:row>4</xdr:row>
      <xdr:rowOff>180974</xdr:rowOff>
    </xdr:to>
    <xdr:pic>
      <xdr:nvPicPr>
        <xdr:cNvPr id="14" name="Рисунок 13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04775" y="81915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121348</xdr:colOff>
      <xdr:row>1</xdr:row>
      <xdr:rowOff>28574</xdr:rowOff>
    </xdr:from>
    <xdr:ext cx="2212277" cy="71437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1448" y="314324"/>
          <a:ext cx="2212277" cy="714375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6</xdr:row>
      <xdr:rowOff>37931</xdr:rowOff>
    </xdr:from>
    <xdr:to>
      <xdr:col>0</xdr:col>
      <xdr:colOff>4200525</xdr:colOff>
      <xdr:row>9</xdr:row>
      <xdr:rowOff>92817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904706"/>
          <a:ext cx="4143375" cy="540661"/>
        </a:xfrm>
        <a:prstGeom prst="rect">
          <a:avLst/>
        </a:prstGeom>
      </xdr:spPr>
    </xdr:pic>
    <xdr:clientData/>
  </xdr:twoCellAnchor>
  <xdr:twoCellAnchor editAs="oneCell">
    <xdr:from>
      <xdr:col>2</xdr:col>
      <xdr:colOff>72609</xdr:colOff>
      <xdr:row>5</xdr:row>
      <xdr:rowOff>180976</xdr:rowOff>
    </xdr:from>
    <xdr:to>
      <xdr:col>3</xdr:col>
      <xdr:colOff>725733</xdr:colOff>
      <xdr:row>8</xdr:row>
      <xdr:rowOff>85725</xdr:rowOff>
    </xdr:to>
    <xdr:pic>
      <xdr:nvPicPr>
        <xdr:cNvPr id="4" name="Рисунок 3" descr="https://img1.dp.ru/images/article/2017/03/09/83010b3f-3fb0-4743-aa83-5bfdbbd455f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65"/>
        <a:stretch/>
      </xdr:blipFill>
      <xdr:spPr bwMode="auto">
        <a:xfrm>
          <a:off x="5225634" y="1200151"/>
          <a:ext cx="1500849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19050</xdr:rowOff>
    </xdr:from>
    <xdr:to>
      <xdr:col>0</xdr:col>
      <xdr:colOff>213447</xdr:colOff>
      <xdr:row>1</xdr:row>
      <xdr:rowOff>200024</xdr:rowOff>
    </xdr:to>
    <xdr:pic>
      <xdr:nvPicPr>
        <xdr:cNvPr id="7" name="Рисунок 6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85725" y="30480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3</xdr:row>
      <xdr:rowOff>133350</xdr:rowOff>
    </xdr:from>
    <xdr:to>
      <xdr:col>0</xdr:col>
      <xdr:colOff>232497</xdr:colOff>
      <xdr:row>4</xdr:row>
      <xdr:rowOff>171449</xdr:rowOff>
    </xdr:to>
    <xdr:pic>
      <xdr:nvPicPr>
        <xdr:cNvPr id="10" name="Рисунок 9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04775" y="81915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321373</xdr:colOff>
      <xdr:row>1</xdr:row>
      <xdr:rowOff>9524</xdr:rowOff>
    </xdr:from>
    <xdr:ext cx="2212277" cy="714375"/>
    <xdr:pic>
      <xdr:nvPicPr>
        <xdr:cNvPr id="14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723" y="276224"/>
          <a:ext cx="2212277" cy="714375"/>
        </a:xfrm>
        <a:prstGeom prst="rect">
          <a:avLst/>
        </a:prstGeom>
      </xdr:spPr>
    </xdr:pic>
    <xdr:clientData/>
  </xdr:oneCellAnchor>
  <xdr:oneCellAnchor>
    <xdr:from>
      <xdr:col>0</xdr:col>
      <xdr:colOff>285751</xdr:colOff>
      <xdr:row>6</xdr:row>
      <xdr:rowOff>9357</xdr:rowOff>
    </xdr:from>
    <xdr:ext cx="3933824" cy="438318"/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1" y="1247607"/>
          <a:ext cx="3933824" cy="438318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1</xdr:row>
      <xdr:rowOff>47625</xdr:rowOff>
    </xdr:from>
    <xdr:ext cx="127722" cy="180974"/>
    <xdr:pic>
      <xdr:nvPicPr>
        <xdr:cNvPr id="17" name="Рисунок 16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14300" y="314325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104775</xdr:colOff>
      <xdr:row>3</xdr:row>
      <xdr:rowOff>133350</xdr:rowOff>
    </xdr:from>
    <xdr:ext cx="127722" cy="180974"/>
    <xdr:pic>
      <xdr:nvPicPr>
        <xdr:cNvPr id="18" name="Рисунок 17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04775" y="81915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095749" y="4457322"/>
    <xdr:ext cx="2119883" cy="1078989"/>
    <xdr:pic>
      <xdr:nvPicPr>
        <xdr:cNvPr id="4" name="image2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457322"/>
          <a:ext cx="2119883" cy="1078989"/>
        </a:xfrm>
        <a:prstGeom prst="rect">
          <a:avLst/>
        </a:prstGeom>
      </xdr:spPr>
    </xdr:pic>
    <xdr:clientData/>
  </xdr:absoluteAnchor>
  <xdr:oneCellAnchor>
    <xdr:from>
      <xdr:col>1</xdr:col>
      <xdr:colOff>978407</xdr:colOff>
      <xdr:row>33</xdr:row>
      <xdr:rowOff>83820</xdr:rowOff>
    </xdr:from>
    <xdr:ext cx="1996439" cy="1217675"/>
    <xdr:pic>
      <xdr:nvPicPr>
        <xdr:cNvPr id="5" name="image3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8332" y="6160770"/>
          <a:ext cx="1996439" cy="1217675"/>
        </a:xfrm>
        <a:prstGeom prst="rect">
          <a:avLst/>
        </a:prstGeom>
      </xdr:spPr>
    </xdr:pic>
    <xdr:clientData/>
  </xdr:oneCellAnchor>
  <xdr:absoluteAnchor>
    <xdr:pos x="4284344" y="2699766"/>
    <xdr:ext cx="1856231" cy="1208531"/>
    <xdr:pic>
      <xdr:nvPicPr>
        <xdr:cNvPr id="6" name="image4.jpe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4344" y="2699766"/>
          <a:ext cx="1856231" cy="1208531"/>
        </a:xfrm>
        <a:prstGeom prst="rect">
          <a:avLst/>
        </a:prstGeom>
      </xdr:spPr>
    </xdr:pic>
    <xdr:clientData/>
  </xdr:absoluteAnchor>
  <xdr:oneCellAnchor>
    <xdr:from>
      <xdr:col>0</xdr:col>
      <xdr:colOff>1509140</xdr:colOff>
      <xdr:row>50</xdr:row>
      <xdr:rowOff>117729</xdr:rowOff>
    </xdr:from>
    <xdr:ext cx="1606295" cy="995171"/>
    <xdr:pic>
      <xdr:nvPicPr>
        <xdr:cNvPr id="7" name="image5.jpe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9140" y="7051929"/>
          <a:ext cx="1606295" cy="995171"/>
        </a:xfrm>
        <a:prstGeom prst="rect">
          <a:avLst/>
        </a:prstGeom>
      </xdr:spPr>
    </xdr:pic>
    <xdr:clientData/>
  </xdr:oneCellAnchor>
  <xdr:oneCellAnchor>
    <xdr:from>
      <xdr:col>0</xdr:col>
      <xdr:colOff>1170050</xdr:colOff>
      <xdr:row>44</xdr:row>
      <xdr:rowOff>1524</xdr:rowOff>
    </xdr:from>
    <xdr:ext cx="1583435" cy="975359"/>
    <xdr:pic>
      <xdr:nvPicPr>
        <xdr:cNvPr id="8" name="image6.jpe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50" y="5907024"/>
          <a:ext cx="1583435" cy="975359"/>
        </a:xfrm>
        <a:prstGeom prst="rect">
          <a:avLst/>
        </a:prstGeom>
      </xdr:spPr>
    </xdr:pic>
    <xdr:clientData/>
  </xdr:oneCellAnchor>
  <xdr:oneCellAnchor>
    <xdr:from>
      <xdr:col>1</xdr:col>
      <xdr:colOff>178738</xdr:colOff>
      <xdr:row>58</xdr:row>
      <xdr:rowOff>128397</xdr:rowOff>
    </xdr:from>
    <xdr:ext cx="1030933" cy="343438"/>
    <xdr:pic>
      <xdr:nvPicPr>
        <xdr:cNvPr id="9" name="image7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8663" y="8434197"/>
          <a:ext cx="1030933" cy="343438"/>
        </a:xfrm>
        <a:prstGeom prst="rect">
          <a:avLst/>
        </a:prstGeom>
      </xdr:spPr>
    </xdr:pic>
    <xdr:clientData/>
  </xdr:oneCellAnchor>
  <xdr:oneCellAnchor>
    <xdr:from>
      <xdr:col>3</xdr:col>
      <xdr:colOff>1390650</xdr:colOff>
      <xdr:row>1</xdr:row>
      <xdr:rowOff>70072</xdr:rowOff>
    </xdr:from>
    <xdr:ext cx="2838450" cy="961320"/>
    <xdr:pic>
      <xdr:nvPicPr>
        <xdr:cNvPr id="16" name="image1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336772"/>
          <a:ext cx="2838450" cy="961320"/>
        </a:xfrm>
        <a:prstGeom prst="rect">
          <a:avLst/>
        </a:prstGeom>
      </xdr:spPr>
    </xdr:pic>
    <xdr:clientData/>
  </xdr:oneCellAnchor>
  <xdr:twoCellAnchor editAs="oneCell">
    <xdr:from>
      <xdr:col>0</xdr:col>
      <xdr:colOff>123825</xdr:colOff>
      <xdr:row>6</xdr:row>
      <xdr:rowOff>95081</xdr:rowOff>
    </xdr:from>
    <xdr:to>
      <xdr:col>3</xdr:col>
      <xdr:colOff>9525</xdr:colOff>
      <xdr:row>9</xdr:row>
      <xdr:rowOff>104775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3825" y="1247606"/>
          <a:ext cx="4143375" cy="495469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1</xdr:row>
      <xdr:rowOff>38100</xdr:rowOff>
    </xdr:from>
    <xdr:ext cx="127722" cy="180974"/>
    <xdr:pic>
      <xdr:nvPicPr>
        <xdr:cNvPr id="12" name="Рисунок 11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42875" y="30480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104775</xdr:colOff>
      <xdr:row>3</xdr:row>
      <xdr:rowOff>133350</xdr:rowOff>
    </xdr:from>
    <xdr:ext cx="127722" cy="180974"/>
    <xdr:pic>
      <xdr:nvPicPr>
        <xdr:cNvPr id="13" name="Рисунок 12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04775" y="89535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79597</xdr:rowOff>
    </xdr:from>
    <xdr:ext cx="2408640" cy="815753"/>
    <xdr:pic>
      <xdr:nvPicPr>
        <xdr:cNvPr id="1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241522"/>
          <a:ext cx="2408640" cy="815753"/>
        </a:xfrm>
        <a:prstGeom prst="rect">
          <a:avLst/>
        </a:prstGeom>
      </xdr:spPr>
    </xdr:pic>
    <xdr:clientData/>
  </xdr:oneCellAnchor>
  <xdr:twoCellAnchor editAs="oneCell">
    <xdr:from>
      <xdr:col>0</xdr:col>
      <xdr:colOff>123825</xdr:colOff>
      <xdr:row>6</xdr:row>
      <xdr:rowOff>56981</xdr:rowOff>
    </xdr:from>
    <xdr:to>
      <xdr:col>2</xdr:col>
      <xdr:colOff>86217</xdr:colOff>
      <xdr:row>9</xdr:row>
      <xdr:rowOff>57150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1238081"/>
          <a:ext cx="5153517" cy="485944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1</xdr:row>
      <xdr:rowOff>38100</xdr:rowOff>
    </xdr:from>
    <xdr:ext cx="127722" cy="180974"/>
    <xdr:pic>
      <xdr:nvPicPr>
        <xdr:cNvPr id="14" name="Рисунок 13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42875" y="30480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104775</xdr:colOff>
      <xdr:row>3</xdr:row>
      <xdr:rowOff>133350</xdr:rowOff>
    </xdr:from>
    <xdr:ext cx="127722" cy="180974"/>
    <xdr:pic>
      <xdr:nvPicPr>
        <xdr:cNvPr id="15" name="Рисунок 14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04775" y="771525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76200</xdr:rowOff>
    </xdr:from>
    <xdr:ext cx="2165197" cy="704850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42900"/>
          <a:ext cx="2165197" cy="704850"/>
        </a:xfrm>
        <a:prstGeom prst="rect">
          <a:avLst/>
        </a:prstGeom>
      </xdr:spPr>
    </xdr:pic>
    <xdr:clientData/>
  </xdr:oneCellAnchor>
  <xdr:twoCellAnchor editAs="oneCell">
    <xdr:from>
      <xdr:col>0</xdr:col>
      <xdr:colOff>142875</xdr:colOff>
      <xdr:row>6</xdr:row>
      <xdr:rowOff>9356</xdr:rowOff>
    </xdr:from>
    <xdr:to>
      <xdr:col>0</xdr:col>
      <xdr:colOff>4286250</xdr:colOff>
      <xdr:row>9</xdr:row>
      <xdr:rowOff>19050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219031"/>
          <a:ext cx="4143375" cy="495469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1</xdr:row>
      <xdr:rowOff>38100</xdr:rowOff>
    </xdr:from>
    <xdr:ext cx="127722" cy="180974"/>
    <xdr:pic>
      <xdr:nvPicPr>
        <xdr:cNvPr id="6" name="Рисунок 5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42875" y="30480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104775</xdr:colOff>
      <xdr:row>3</xdr:row>
      <xdr:rowOff>133350</xdr:rowOff>
    </xdr:from>
    <xdr:ext cx="127722" cy="180974"/>
    <xdr:pic>
      <xdr:nvPicPr>
        <xdr:cNvPr id="7" name="Рисунок 6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04775" y="771525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238125</xdr:rowOff>
    </xdr:from>
    <xdr:ext cx="2165197" cy="685800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238125"/>
          <a:ext cx="2165197" cy="685800"/>
        </a:xfrm>
        <a:prstGeom prst="rect">
          <a:avLst/>
        </a:prstGeom>
      </xdr:spPr>
    </xdr:pic>
    <xdr:clientData/>
  </xdr:oneCellAnchor>
  <xdr:twoCellAnchor editAs="oneCell">
    <xdr:from>
      <xdr:col>0</xdr:col>
      <xdr:colOff>133350</xdr:colOff>
      <xdr:row>5</xdr:row>
      <xdr:rowOff>190331</xdr:rowOff>
    </xdr:from>
    <xdr:to>
      <xdr:col>0</xdr:col>
      <xdr:colOff>4276725</xdr:colOff>
      <xdr:row>7</xdr:row>
      <xdr:rowOff>333375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1209506"/>
          <a:ext cx="4143375" cy="495469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1</xdr:row>
      <xdr:rowOff>38100</xdr:rowOff>
    </xdr:from>
    <xdr:ext cx="127722" cy="180974"/>
    <xdr:pic>
      <xdr:nvPicPr>
        <xdr:cNvPr id="6" name="Рисунок 5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42875" y="30480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104775</xdr:colOff>
      <xdr:row>3</xdr:row>
      <xdr:rowOff>133350</xdr:rowOff>
    </xdr:from>
    <xdr:ext cx="127722" cy="180974"/>
    <xdr:pic>
      <xdr:nvPicPr>
        <xdr:cNvPr id="7" name="Рисунок 6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04775" y="771525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</xdr:row>
      <xdr:rowOff>70072</xdr:rowOff>
    </xdr:from>
    <xdr:ext cx="1924050" cy="651633"/>
    <xdr:pic>
      <xdr:nvPicPr>
        <xdr:cNvPr id="6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327247"/>
          <a:ext cx="1924050" cy="651633"/>
        </a:xfrm>
        <a:prstGeom prst="rect">
          <a:avLst/>
        </a:prstGeom>
      </xdr:spPr>
    </xdr:pic>
    <xdr:clientData/>
  </xdr:oneCellAnchor>
  <xdr:twoCellAnchor editAs="oneCell">
    <xdr:from>
      <xdr:col>0</xdr:col>
      <xdr:colOff>142875</xdr:colOff>
      <xdr:row>6</xdr:row>
      <xdr:rowOff>18881</xdr:rowOff>
    </xdr:from>
    <xdr:to>
      <xdr:col>0</xdr:col>
      <xdr:colOff>4286250</xdr:colOff>
      <xdr:row>9</xdr:row>
      <xdr:rowOff>28575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219031"/>
          <a:ext cx="4143375" cy="495469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1</xdr:row>
      <xdr:rowOff>38100</xdr:rowOff>
    </xdr:from>
    <xdr:ext cx="127722" cy="180974"/>
    <xdr:pic>
      <xdr:nvPicPr>
        <xdr:cNvPr id="8" name="Рисунок 7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42875" y="304800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104775</xdr:colOff>
      <xdr:row>3</xdr:row>
      <xdr:rowOff>133350</xdr:rowOff>
    </xdr:from>
    <xdr:ext cx="127722" cy="180974"/>
    <xdr:pic>
      <xdr:nvPicPr>
        <xdr:cNvPr id="9" name="Рисунок 8" descr="http://d2v4zi8pl64nxt.cloudfront.net/seo-client-maturity/5b327efdb3db92.387485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40" t="5269" r="26188" b="4856"/>
        <a:stretch/>
      </xdr:blipFill>
      <xdr:spPr bwMode="auto">
        <a:xfrm>
          <a:off x="104775" y="771525"/>
          <a:ext cx="12772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61" workbookViewId="0">
      <selection activeCell="G60" sqref="G60:J61"/>
    </sheetView>
  </sheetViews>
  <sheetFormatPr defaultRowHeight="12.75"/>
  <cols>
    <col min="1" max="1" width="48.83203125" customWidth="1"/>
    <col min="2" max="2" width="31.5" customWidth="1"/>
    <col min="3" max="3" width="10.83203125" customWidth="1"/>
    <col min="4" max="5" width="14.83203125" customWidth="1"/>
    <col min="6" max="6" width="2.6640625" customWidth="1"/>
    <col min="7" max="7" width="11.5" style="30" bestFit="1" customWidth="1"/>
    <col min="10" max="10" width="21.5" customWidth="1"/>
  </cols>
  <sheetData>
    <row r="1" spans="1:7" ht="18.75" customHeight="1">
      <c r="A1" s="1"/>
    </row>
    <row r="2" spans="1:7" ht="16.5" customHeight="1">
      <c r="A2" s="129" t="s">
        <v>410</v>
      </c>
      <c r="B2" s="129"/>
      <c r="C2" s="129"/>
    </row>
    <row r="3" spans="1:7" ht="12.75" customHeight="1">
      <c r="A3" s="128" t="s">
        <v>409</v>
      </c>
      <c r="B3" s="128"/>
    </row>
    <row r="4" spans="1:7" ht="9.75" customHeight="1">
      <c r="A4" s="108"/>
    </row>
    <row r="5" spans="1:7" ht="18.75" customHeight="1">
      <c r="A5" s="127" t="s">
        <v>411</v>
      </c>
      <c r="B5" s="127"/>
      <c r="C5" s="127"/>
      <c r="D5" s="127"/>
      <c r="E5" s="127"/>
      <c r="F5" s="127"/>
    </row>
    <row r="6" spans="1:7" ht="18" customHeight="1">
      <c r="A6" s="130" t="s">
        <v>334</v>
      </c>
      <c r="B6" s="130"/>
      <c r="C6" s="110"/>
      <c r="D6" s="110"/>
      <c r="E6" s="110"/>
      <c r="F6" s="110"/>
    </row>
    <row r="7" spans="1:7" ht="30.75" customHeight="1"/>
    <row r="8" spans="1:7" ht="30.75" customHeight="1">
      <c r="E8" s="30"/>
    </row>
    <row r="9" spans="1:7" ht="20.25" customHeight="1">
      <c r="A9" s="123" t="s">
        <v>0</v>
      </c>
      <c r="B9" s="124"/>
      <c r="C9" s="124"/>
      <c r="D9" s="125"/>
      <c r="E9" s="29" t="s">
        <v>1</v>
      </c>
    </row>
    <row r="10" spans="1:7" ht="25.5" customHeight="1">
      <c r="A10" s="121" t="s">
        <v>342</v>
      </c>
      <c r="B10" s="122"/>
      <c r="C10" s="28" t="s">
        <v>2</v>
      </c>
      <c r="D10" s="28" t="s">
        <v>3</v>
      </c>
      <c r="E10" s="28" t="s">
        <v>4</v>
      </c>
    </row>
    <row r="11" spans="1:7" ht="28.5" customHeight="1">
      <c r="A11" s="115" t="s">
        <v>330</v>
      </c>
      <c r="B11" s="116"/>
      <c r="C11" s="52" t="s">
        <v>5</v>
      </c>
      <c r="D11" s="53">
        <f>1798.19*1.05</f>
        <v>1888.0995</v>
      </c>
      <c r="E11" s="53">
        <f>1294.7*1.05</f>
        <v>1359.4350000000002</v>
      </c>
      <c r="G11" s="31"/>
    </row>
    <row r="12" spans="1:7" ht="26.25" customHeight="1">
      <c r="A12" s="126" t="s">
        <v>6</v>
      </c>
      <c r="B12" s="116"/>
      <c r="C12" s="52" t="s">
        <v>5</v>
      </c>
      <c r="D12" s="53">
        <f>1798.19*1.05</f>
        <v>1888.0995</v>
      </c>
      <c r="E12" s="53">
        <f>1294.7*1.05</f>
        <v>1359.4350000000002</v>
      </c>
      <c r="G12" s="31"/>
    </row>
    <row r="13" spans="1:7" ht="27" customHeight="1">
      <c r="A13" s="126" t="s">
        <v>7</v>
      </c>
      <c r="B13" s="116"/>
      <c r="C13" s="52" t="s">
        <v>5</v>
      </c>
      <c r="D13" s="53">
        <f>2261.94*1.05</f>
        <v>2375.0370000000003</v>
      </c>
      <c r="E13" s="53">
        <f>1628.6*1.05</f>
        <v>1710.03</v>
      </c>
      <c r="G13" s="31"/>
    </row>
    <row r="14" spans="1:7" ht="27" customHeight="1">
      <c r="A14" s="131" t="s">
        <v>337</v>
      </c>
      <c r="B14" s="132"/>
      <c r="C14" s="56" t="s">
        <v>336</v>
      </c>
      <c r="D14" s="57">
        <f>2613.33*1.05</f>
        <v>2743.9965000000002</v>
      </c>
      <c r="E14" s="57">
        <f>1881.6*1.05</f>
        <v>1975.68</v>
      </c>
      <c r="G14" s="31"/>
    </row>
    <row r="15" spans="1:7" ht="27" customHeight="1">
      <c r="A15" s="134" t="s">
        <v>335</v>
      </c>
      <c r="B15" s="135"/>
      <c r="C15" s="54" t="s">
        <v>336</v>
      </c>
      <c r="D15" s="55">
        <v>2500</v>
      </c>
      <c r="E15" s="55">
        <v>1800</v>
      </c>
      <c r="G15" s="31"/>
    </row>
    <row r="16" spans="1:7" ht="26.25" customHeight="1">
      <c r="A16" s="126" t="s">
        <v>8</v>
      </c>
      <c r="B16" s="116"/>
      <c r="C16" s="52" t="s">
        <v>5</v>
      </c>
      <c r="D16" s="53">
        <f>3176.25*1.05</f>
        <v>3335.0625</v>
      </c>
      <c r="E16" s="53">
        <f>2286.9*1.05</f>
        <v>2401.2450000000003</v>
      </c>
      <c r="G16" s="31"/>
    </row>
    <row r="17" spans="1:9" ht="30" customHeight="1">
      <c r="A17" s="133" t="s">
        <v>9</v>
      </c>
      <c r="B17" s="122"/>
      <c r="C17" s="28" t="s">
        <v>2</v>
      </c>
      <c r="D17" s="28" t="s">
        <v>3</v>
      </c>
      <c r="E17" s="28" t="s">
        <v>4</v>
      </c>
    </row>
    <row r="18" spans="1:9" ht="15" customHeight="1">
      <c r="A18" s="126" t="s">
        <v>10</v>
      </c>
      <c r="B18" s="116"/>
      <c r="C18" s="52" t="s">
        <v>11</v>
      </c>
      <c r="D18" s="140" t="s">
        <v>338</v>
      </c>
      <c r="E18" s="141"/>
    </row>
    <row r="19" spans="1:9" ht="24.75" customHeight="1">
      <c r="A19" s="126" t="s">
        <v>14</v>
      </c>
      <c r="B19" s="116"/>
      <c r="C19" s="52" t="s">
        <v>11</v>
      </c>
      <c r="D19" s="59">
        <f>232.48*1.05</f>
        <v>244.10400000000001</v>
      </c>
      <c r="E19" s="53">
        <f>1990*1.05</f>
        <v>2089.5</v>
      </c>
      <c r="G19" s="31"/>
    </row>
    <row r="20" spans="1:9" ht="29.25" customHeight="1">
      <c r="A20" s="126" t="s">
        <v>15</v>
      </c>
      <c r="B20" s="116"/>
      <c r="C20" s="52" t="s">
        <v>11</v>
      </c>
      <c r="D20" s="59">
        <f>348.7*1.05</f>
        <v>366.13499999999999</v>
      </c>
      <c r="E20" s="53">
        <f>1740*1.05</f>
        <v>1827</v>
      </c>
      <c r="G20" s="31"/>
    </row>
    <row r="21" spans="1:9" ht="29.25" customHeight="1">
      <c r="A21" s="134" t="s">
        <v>328</v>
      </c>
      <c r="B21" s="116"/>
      <c r="C21" s="52" t="s">
        <v>16</v>
      </c>
      <c r="D21" s="60">
        <f>341.78*1.05</f>
        <v>358.86899999999997</v>
      </c>
      <c r="E21" s="60">
        <f>984.31*1.05</f>
        <v>1033.5255</v>
      </c>
      <c r="G21" s="31"/>
    </row>
    <row r="22" spans="1:9" ht="24.75" customHeight="1">
      <c r="A22" s="131" t="s">
        <v>339</v>
      </c>
      <c r="B22" s="132"/>
      <c r="C22" s="56" t="s">
        <v>340</v>
      </c>
      <c r="D22" s="61">
        <f>224.24*1.05</f>
        <v>235.45200000000003</v>
      </c>
      <c r="E22" s="57">
        <f>1681.79*1.05</f>
        <v>1765.8795</v>
      </c>
      <c r="F22" s="105"/>
      <c r="G22" s="106"/>
      <c r="H22" s="105"/>
      <c r="I22" s="105"/>
    </row>
    <row r="23" spans="1:9" ht="15" customHeight="1">
      <c r="A23" s="131" t="s">
        <v>341</v>
      </c>
      <c r="B23" s="132"/>
      <c r="C23" s="56" t="s">
        <v>340</v>
      </c>
      <c r="D23" s="61">
        <f>325.5*1.05</f>
        <v>341.77500000000003</v>
      </c>
      <c r="E23" s="61">
        <f>976.5*1.05</f>
        <v>1025.325</v>
      </c>
      <c r="F23" s="105"/>
      <c r="G23" s="106"/>
      <c r="H23" s="105"/>
      <c r="I23" s="105"/>
    </row>
    <row r="24" spans="1:9" ht="27.75" customHeight="1">
      <c r="A24" s="133" t="s">
        <v>17</v>
      </c>
      <c r="B24" s="122"/>
      <c r="C24" s="28" t="s">
        <v>2</v>
      </c>
      <c r="D24" s="63" t="s">
        <v>3</v>
      </c>
      <c r="E24" s="63" t="s">
        <v>4</v>
      </c>
    </row>
    <row r="25" spans="1:9" ht="13.5" customHeight="1">
      <c r="A25" s="136" t="s">
        <v>18</v>
      </c>
      <c r="B25" s="137"/>
      <c r="C25" s="11" t="s">
        <v>5</v>
      </c>
      <c r="D25" s="41" t="s">
        <v>13</v>
      </c>
      <c r="E25" s="45">
        <v>463</v>
      </c>
      <c r="G25" s="31"/>
    </row>
    <row r="26" spans="1:9" ht="13.5" customHeight="1">
      <c r="A26" s="136" t="s">
        <v>19</v>
      </c>
      <c r="B26" s="137"/>
      <c r="C26" s="11" t="s">
        <v>5</v>
      </c>
      <c r="D26" s="41" t="s">
        <v>13</v>
      </c>
      <c r="E26" s="45">
        <v>463</v>
      </c>
      <c r="G26" s="31"/>
    </row>
    <row r="27" spans="1:9" ht="13.5" customHeight="1">
      <c r="A27" s="136" t="s">
        <v>20</v>
      </c>
      <c r="B27" s="137"/>
      <c r="C27" s="11" t="s">
        <v>5</v>
      </c>
      <c r="D27" s="41" t="s">
        <v>13</v>
      </c>
      <c r="E27" s="45">
        <v>369</v>
      </c>
      <c r="G27" s="31"/>
    </row>
    <row r="28" spans="1:9" ht="13.5" customHeight="1">
      <c r="A28" s="136" t="s">
        <v>21</v>
      </c>
      <c r="B28" s="137"/>
      <c r="C28" s="11" t="s">
        <v>5</v>
      </c>
      <c r="D28" s="41" t="s">
        <v>13</v>
      </c>
      <c r="E28" s="45">
        <v>369</v>
      </c>
      <c r="G28" s="31"/>
    </row>
    <row r="29" spans="1:9" ht="13.5" customHeight="1">
      <c r="A29" s="126" t="s">
        <v>22</v>
      </c>
      <c r="B29" s="116"/>
      <c r="C29" s="52" t="s">
        <v>5</v>
      </c>
      <c r="D29" s="97" t="s">
        <v>13</v>
      </c>
      <c r="E29" s="65">
        <v>110</v>
      </c>
      <c r="G29" s="31"/>
    </row>
    <row r="30" spans="1:9" ht="13.5" customHeight="1">
      <c r="A30" s="138" t="s">
        <v>406</v>
      </c>
      <c r="B30" s="139"/>
      <c r="C30" s="52" t="s">
        <v>336</v>
      </c>
      <c r="D30" s="97" t="s">
        <v>13</v>
      </c>
      <c r="E30" s="65">
        <v>109</v>
      </c>
      <c r="G30" s="31"/>
    </row>
    <row r="31" spans="1:9" ht="13.5" customHeight="1">
      <c r="A31" s="138" t="s">
        <v>407</v>
      </c>
      <c r="B31" s="139"/>
      <c r="C31" s="52" t="s">
        <v>336</v>
      </c>
      <c r="D31" s="97" t="s">
        <v>13</v>
      </c>
      <c r="E31" s="65">
        <v>109</v>
      </c>
      <c r="G31" s="31"/>
    </row>
    <row r="32" spans="1:9" ht="28.5" customHeight="1">
      <c r="A32" s="133" t="s">
        <v>23</v>
      </c>
      <c r="B32" s="122"/>
      <c r="C32" s="28" t="s">
        <v>2</v>
      </c>
      <c r="D32" s="63" t="s">
        <v>3</v>
      </c>
      <c r="E32" s="63" t="s">
        <v>4</v>
      </c>
    </row>
    <row r="33" spans="1:11" ht="27" customHeight="1">
      <c r="A33" s="126" t="s">
        <v>24</v>
      </c>
      <c r="B33" s="116"/>
      <c r="C33" s="52" t="s">
        <v>5</v>
      </c>
      <c r="D33" s="65">
        <f>236.25*1.05</f>
        <v>248.0625</v>
      </c>
      <c r="E33" s="65">
        <f>708.75*1.05</f>
        <v>744.1875</v>
      </c>
      <c r="G33" s="31"/>
      <c r="J33" s="31"/>
      <c r="K33" s="51"/>
    </row>
    <row r="34" spans="1:11" ht="26.25" customHeight="1">
      <c r="A34" s="126" t="s">
        <v>25</v>
      </c>
      <c r="B34" s="116"/>
      <c r="C34" s="52" t="s">
        <v>5</v>
      </c>
      <c r="D34" s="65">
        <f>267.75*1.05</f>
        <v>281.13749999999999</v>
      </c>
      <c r="E34" s="65">
        <f>642.6*1.05</f>
        <v>674.73</v>
      </c>
      <c r="G34" s="31"/>
      <c r="J34" s="31"/>
      <c r="K34" s="51"/>
    </row>
    <row r="35" spans="1:11" ht="27.75" customHeight="1">
      <c r="A35" s="126" t="s">
        <v>26</v>
      </c>
      <c r="B35" s="116"/>
      <c r="C35" s="52" t="s">
        <v>5</v>
      </c>
      <c r="D35" s="65">
        <f>259.35*1.05</f>
        <v>272.31750000000005</v>
      </c>
      <c r="E35" s="65">
        <f>778.05*1.05</f>
        <v>816.95249999999999</v>
      </c>
      <c r="G35" s="31"/>
      <c r="J35" s="31"/>
      <c r="K35" s="51"/>
    </row>
    <row r="36" spans="1:11" ht="13.5" customHeight="1">
      <c r="A36" s="126" t="s">
        <v>27</v>
      </c>
      <c r="B36" s="116"/>
      <c r="C36" s="52" t="s">
        <v>5</v>
      </c>
      <c r="D36" s="64">
        <f>1064.58*1.05</f>
        <v>1117.809</v>
      </c>
      <c r="E36" s="64">
        <f>1533*1.05</f>
        <v>1609.65</v>
      </c>
      <c r="G36" s="31"/>
      <c r="J36" s="31"/>
      <c r="K36" s="51"/>
    </row>
    <row r="37" spans="1:11" ht="25.5" customHeight="1">
      <c r="A37" s="115" t="s">
        <v>343</v>
      </c>
      <c r="B37" s="116"/>
      <c r="C37" s="52" t="s">
        <v>5</v>
      </c>
      <c r="D37" s="53">
        <f>1374.19*1.05</f>
        <v>1442.8995000000002</v>
      </c>
      <c r="E37" s="59">
        <f>989.42*1.05</f>
        <v>1038.8910000000001</v>
      </c>
      <c r="G37" s="31"/>
      <c r="J37" s="31"/>
      <c r="K37" s="51"/>
    </row>
    <row r="38" spans="1:11" ht="13.5" customHeight="1">
      <c r="A38" s="126" t="s">
        <v>28</v>
      </c>
      <c r="B38" s="116"/>
      <c r="C38" s="52" t="s">
        <v>5</v>
      </c>
      <c r="D38" s="65">
        <f>708.75*1.05</f>
        <v>744.1875</v>
      </c>
      <c r="E38" s="64">
        <f>1275.75*1.05</f>
        <v>1339.5375000000001</v>
      </c>
      <c r="G38" s="31"/>
      <c r="J38" s="31"/>
      <c r="K38" s="51"/>
    </row>
    <row r="39" spans="1:11" ht="13.5" customHeight="1">
      <c r="A39" s="144" t="s">
        <v>360</v>
      </c>
      <c r="B39" s="145"/>
      <c r="C39" s="67" t="s">
        <v>336</v>
      </c>
      <c r="D39" s="68">
        <v>204.33</v>
      </c>
      <c r="E39" s="69">
        <v>613</v>
      </c>
      <c r="G39" s="31"/>
      <c r="J39" s="31"/>
      <c r="K39" s="51"/>
    </row>
    <row r="40" spans="1:11" ht="13.5" customHeight="1">
      <c r="A40" s="144" t="s">
        <v>361</v>
      </c>
      <c r="B40" s="145"/>
      <c r="C40" s="67" t="s">
        <v>336</v>
      </c>
      <c r="D40" s="68">
        <v>237.67</v>
      </c>
      <c r="E40" s="69">
        <v>713</v>
      </c>
      <c r="G40" s="31"/>
      <c r="J40" s="31"/>
      <c r="K40" s="51"/>
    </row>
    <row r="41" spans="1:11" ht="30.75" customHeight="1">
      <c r="A41" s="133" t="s">
        <v>29</v>
      </c>
      <c r="B41" s="122"/>
      <c r="C41" s="28" t="s">
        <v>2</v>
      </c>
      <c r="D41" s="63" t="s">
        <v>3</v>
      </c>
      <c r="E41" s="63" t="s">
        <v>4</v>
      </c>
    </row>
    <row r="42" spans="1:11" ht="13.5" customHeight="1">
      <c r="A42" s="115" t="s">
        <v>332</v>
      </c>
      <c r="B42" s="116"/>
      <c r="C42" s="52" t="s">
        <v>30</v>
      </c>
      <c r="D42" s="65">
        <f>150.15*1.05</f>
        <v>157.6575</v>
      </c>
      <c r="E42" s="64">
        <f>2252.25*1.05</f>
        <v>2364.8625000000002</v>
      </c>
      <c r="G42" s="31"/>
    </row>
    <row r="43" spans="1:11" ht="13.5" customHeight="1">
      <c r="A43" s="126" t="s">
        <v>31</v>
      </c>
      <c r="B43" s="116"/>
      <c r="C43" s="52" t="s">
        <v>32</v>
      </c>
      <c r="D43" s="65">
        <f>336*1.05</f>
        <v>352.8</v>
      </c>
      <c r="E43" s="65">
        <f>336*1.05</f>
        <v>352.8</v>
      </c>
      <c r="G43" s="31"/>
    </row>
    <row r="44" spans="1:11" ht="13.5" customHeight="1">
      <c r="A44" s="126" t="s">
        <v>33</v>
      </c>
      <c r="B44" s="116"/>
      <c r="C44" s="52" t="s">
        <v>34</v>
      </c>
      <c r="D44" s="95">
        <f>363.3*1.05</f>
        <v>381.46500000000003</v>
      </c>
      <c r="E44" s="96">
        <f>3633*1.05</f>
        <v>3814.65</v>
      </c>
      <c r="G44" s="31"/>
    </row>
    <row r="45" spans="1:11" ht="13.5" customHeight="1">
      <c r="A45" s="126" t="s">
        <v>35</v>
      </c>
      <c r="B45" s="116"/>
      <c r="C45" s="52" t="s">
        <v>34</v>
      </c>
      <c r="D45" s="95">
        <f>303.45*1.05</f>
        <v>318.6225</v>
      </c>
      <c r="E45" s="96">
        <f>3034.5*1.05</f>
        <v>3186.2249999999999</v>
      </c>
      <c r="G45" s="31"/>
    </row>
    <row r="46" spans="1:11" ht="27.75" customHeight="1">
      <c r="A46" s="133" t="s">
        <v>36</v>
      </c>
      <c r="B46" s="122"/>
      <c r="C46" s="28" t="s">
        <v>2</v>
      </c>
      <c r="D46" s="63" t="s">
        <v>3</v>
      </c>
      <c r="E46" s="63" t="s">
        <v>4</v>
      </c>
    </row>
    <row r="47" spans="1:11" ht="13.5" customHeight="1">
      <c r="A47" s="126" t="s">
        <v>37</v>
      </c>
      <c r="B47" s="116"/>
      <c r="C47" s="52" t="s">
        <v>11</v>
      </c>
      <c r="D47" s="65">
        <f>235.2*1.05</f>
        <v>246.96</v>
      </c>
      <c r="E47" s="64">
        <f>1693.44*1.05</f>
        <v>1778.1120000000001</v>
      </c>
      <c r="G47" s="31"/>
    </row>
    <row r="48" spans="1:11" ht="30" customHeight="1">
      <c r="A48" s="117" t="s">
        <v>396</v>
      </c>
      <c r="B48" s="118"/>
      <c r="C48" s="99" t="s">
        <v>340</v>
      </c>
      <c r="D48" s="100">
        <v>555.63</v>
      </c>
      <c r="E48" s="101">
        <v>2667</v>
      </c>
      <c r="G48" s="119"/>
      <c r="H48" s="119"/>
      <c r="I48" s="119"/>
      <c r="J48" s="119"/>
    </row>
    <row r="49" spans="1:10" ht="13.5" customHeight="1">
      <c r="A49" s="115" t="s">
        <v>333</v>
      </c>
      <c r="B49" s="116"/>
      <c r="C49" s="52" t="s">
        <v>11</v>
      </c>
      <c r="D49" s="65">
        <f>262.5*1.05</f>
        <v>275.625</v>
      </c>
      <c r="E49" s="64">
        <f>1968.75*1.05</f>
        <v>2067.1875</v>
      </c>
      <c r="G49" s="31"/>
    </row>
    <row r="50" spans="1:10" ht="13.5" customHeight="1">
      <c r="A50" s="126" t="s">
        <v>38</v>
      </c>
      <c r="B50" s="116"/>
      <c r="C50" s="52" t="s">
        <v>16</v>
      </c>
      <c r="D50" s="95">
        <v>313.95</v>
      </c>
      <c r="E50" s="96">
        <f>1130.22*1.05</f>
        <v>1186.731</v>
      </c>
      <c r="G50" s="31"/>
    </row>
    <row r="51" spans="1:10" ht="13.5" customHeight="1">
      <c r="A51" s="126" t="s">
        <v>39</v>
      </c>
      <c r="B51" s="116"/>
      <c r="C51" s="52" t="s">
        <v>5</v>
      </c>
      <c r="D51" s="64">
        <f>3937.5*1.05</f>
        <v>4134.375</v>
      </c>
      <c r="E51" s="64">
        <f>2835*1.05</f>
        <v>2976.75</v>
      </c>
      <c r="G51" s="31"/>
    </row>
    <row r="52" spans="1:10" ht="13.5" customHeight="1">
      <c r="A52" s="126" t="s">
        <v>40</v>
      </c>
      <c r="B52" s="116"/>
      <c r="C52" s="52" t="s">
        <v>5</v>
      </c>
      <c r="D52" s="64">
        <f>4229.17*1.05</f>
        <v>4440.6285000000007</v>
      </c>
      <c r="E52" s="64">
        <f>3045*1.05</f>
        <v>3197.25</v>
      </c>
      <c r="G52" s="31"/>
    </row>
    <row r="53" spans="1:10" ht="13.5" customHeight="1">
      <c r="A53" s="126" t="s">
        <v>41</v>
      </c>
      <c r="B53" s="116"/>
      <c r="C53" s="52" t="s">
        <v>5</v>
      </c>
      <c r="D53" s="64">
        <f>4520.83*1.05</f>
        <v>4746.8715000000002</v>
      </c>
      <c r="E53" s="64">
        <f>3255*1.05</f>
        <v>3417.75</v>
      </c>
      <c r="G53" s="31"/>
    </row>
    <row r="54" spans="1:10" ht="13.5" customHeight="1">
      <c r="A54" s="126" t="s">
        <v>42</v>
      </c>
      <c r="B54" s="116"/>
      <c r="C54" s="52" t="s">
        <v>11</v>
      </c>
      <c r="D54" s="65">
        <f>339.24*1.05</f>
        <v>356.202</v>
      </c>
      <c r="E54" s="64">
        <f>3392.39*1.05</f>
        <v>3562.0095000000001</v>
      </c>
      <c r="G54" s="31"/>
    </row>
    <row r="55" spans="1:10" ht="13.5" customHeight="1">
      <c r="A55" s="126" t="s">
        <v>43</v>
      </c>
      <c r="B55" s="116"/>
      <c r="C55" s="52" t="s">
        <v>44</v>
      </c>
      <c r="D55" s="97" t="s">
        <v>13</v>
      </c>
      <c r="E55" s="65">
        <f>719.25*1.05</f>
        <v>755.21249999999998</v>
      </c>
      <c r="G55" s="31"/>
    </row>
    <row r="56" spans="1:10" ht="13.5" customHeight="1">
      <c r="A56" s="126" t="s">
        <v>45</v>
      </c>
      <c r="B56" s="116"/>
      <c r="C56" s="52" t="s">
        <v>44</v>
      </c>
      <c r="D56" s="97" t="s">
        <v>13</v>
      </c>
      <c r="E56" s="64">
        <f>1911*1.05</f>
        <v>2006.5500000000002</v>
      </c>
      <c r="G56" s="31"/>
    </row>
    <row r="57" spans="1:10" ht="13.5" customHeight="1">
      <c r="A57" s="126" t="s">
        <v>46</v>
      </c>
      <c r="B57" s="116"/>
      <c r="C57" s="52" t="s">
        <v>44</v>
      </c>
      <c r="D57" s="97" t="s">
        <v>13</v>
      </c>
      <c r="E57" s="64">
        <f>3202.5*1.05</f>
        <v>3362.625</v>
      </c>
      <c r="G57" s="31"/>
    </row>
    <row r="58" spans="1:10" ht="13.5" customHeight="1">
      <c r="A58" s="136" t="s">
        <v>47</v>
      </c>
      <c r="B58" s="137"/>
      <c r="C58" s="11" t="s">
        <v>5</v>
      </c>
      <c r="D58" s="41" t="s">
        <v>13</v>
      </c>
      <c r="E58" s="45">
        <f>630*1.05</f>
        <v>661.5</v>
      </c>
      <c r="G58" s="31"/>
    </row>
    <row r="59" spans="1:10" ht="26.25" customHeight="1">
      <c r="A59" s="133" t="s">
        <v>48</v>
      </c>
      <c r="B59" s="122"/>
      <c r="C59" s="28" t="s">
        <v>2</v>
      </c>
      <c r="D59" s="63" t="s">
        <v>3</v>
      </c>
      <c r="E59" s="63" t="s">
        <v>4</v>
      </c>
    </row>
    <row r="60" spans="1:10" ht="13.5" customHeight="1">
      <c r="A60" s="131" t="s">
        <v>397</v>
      </c>
      <c r="B60" s="132"/>
      <c r="C60" s="56" t="s">
        <v>336</v>
      </c>
      <c r="D60" s="102">
        <f>2886.04*1.05</f>
        <v>3030.3420000000001</v>
      </c>
      <c r="E60" s="102">
        <f>2077.95*1.05</f>
        <v>2181.8474999999999</v>
      </c>
      <c r="G60" s="120"/>
      <c r="H60" s="120"/>
      <c r="I60" s="120"/>
      <c r="J60" s="120"/>
    </row>
    <row r="61" spans="1:10" ht="13.5" customHeight="1">
      <c r="A61" s="131" t="s">
        <v>398</v>
      </c>
      <c r="B61" s="132"/>
      <c r="C61" s="56" t="s">
        <v>336</v>
      </c>
      <c r="D61" s="102">
        <f>2886.04*1.05</f>
        <v>3030.3420000000001</v>
      </c>
      <c r="E61" s="102">
        <f>2077.95*1.05</f>
        <v>2181.8474999999999</v>
      </c>
      <c r="G61" s="120"/>
      <c r="H61" s="120"/>
      <c r="I61" s="120"/>
      <c r="J61" s="120"/>
    </row>
    <row r="62" spans="1:10" ht="13.5" customHeight="1">
      <c r="A62" s="126" t="s">
        <v>49</v>
      </c>
      <c r="B62" s="116"/>
      <c r="C62" s="52" t="s">
        <v>5</v>
      </c>
      <c r="D62" s="97" t="s">
        <v>13</v>
      </c>
      <c r="E62" s="65">
        <v>220</v>
      </c>
      <c r="G62" s="31"/>
    </row>
    <row r="63" spans="1:10" ht="13.5" customHeight="1">
      <c r="A63" s="126" t="s">
        <v>50</v>
      </c>
      <c r="B63" s="116"/>
      <c r="C63" s="52" t="s">
        <v>5</v>
      </c>
      <c r="D63" s="97" t="s">
        <v>13</v>
      </c>
      <c r="E63" s="65">
        <v>220</v>
      </c>
      <c r="G63" s="31"/>
    </row>
    <row r="64" spans="1:10" ht="42" customHeight="1">
      <c r="A64" s="121" t="s">
        <v>344</v>
      </c>
      <c r="B64" s="122"/>
      <c r="C64" s="28" t="s">
        <v>2</v>
      </c>
      <c r="D64" s="28" t="s">
        <v>3</v>
      </c>
      <c r="E64" s="28" t="s">
        <v>4</v>
      </c>
    </row>
    <row r="65" spans="1:5">
      <c r="A65" s="115" t="s">
        <v>345</v>
      </c>
      <c r="B65" s="116"/>
      <c r="C65" s="52" t="s">
        <v>5</v>
      </c>
      <c r="D65" s="64">
        <v>656.25</v>
      </c>
      <c r="E65" s="64">
        <v>630</v>
      </c>
    </row>
    <row r="66" spans="1:5" ht="12.75" customHeight="1">
      <c r="A66" s="115" t="s">
        <v>346</v>
      </c>
      <c r="B66" s="116"/>
      <c r="C66" s="52" t="s">
        <v>5</v>
      </c>
      <c r="D66" s="64">
        <v>947.92</v>
      </c>
      <c r="E66" s="64">
        <v>910</v>
      </c>
    </row>
    <row r="67" spans="1:5" ht="12.75" customHeight="1">
      <c r="A67" s="115" t="s">
        <v>347</v>
      </c>
      <c r="B67" s="116"/>
      <c r="C67" s="52" t="s">
        <v>5</v>
      </c>
      <c r="D67" s="97">
        <v>1052.08</v>
      </c>
      <c r="E67" s="65">
        <v>1010</v>
      </c>
    </row>
    <row r="68" spans="1:5" ht="12.75" customHeight="1">
      <c r="A68" s="115" t="s">
        <v>348</v>
      </c>
      <c r="B68" s="116"/>
      <c r="C68" s="52" t="s">
        <v>5</v>
      </c>
      <c r="D68" s="97">
        <v>1135.42</v>
      </c>
      <c r="E68" s="65">
        <v>1090</v>
      </c>
    </row>
    <row r="69" spans="1:5">
      <c r="A69" s="115" t="s">
        <v>349</v>
      </c>
      <c r="B69" s="116"/>
      <c r="C69" s="52" t="s">
        <v>5</v>
      </c>
      <c r="D69" s="97">
        <v>1302.08</v>
      </c>
      <c r="E69" s="65">
        <v>1250</v>
      </c>
    </row>
    <row r="70" spans="1:5" ht="12.75" customHeight="1">
      <c r="A70" s="115" t="s">
        <v>350</v>
      </c>
      <c r="B70" s="116"/>
      <c r="C70" s="52" t="s">
        <v>5</v>
      </c>
      <c r="D70" s="97">
        <v>1427.08</v>
      </c>
      <c r="E70" s="65">
        <v>1370</v>
      </c>
    </row>
    <row r="71" spans="1:5">
      <c r="A71" s="115" t="s">
        <v>351</v>
      </c>
      <c r="B71" s="116"/>
      <c r="C71" s="52" t="s">
        <v>5</v>
      </c>
      <c r="D71" s="97">
        <v>1656.25</v>
      </c>
      <c r="E71" s="65">
        <v>1590</v>
      </c>
    </row>
    <row r="72" spans="1:5" ht="12.75" customHeight="1">
      <c r="A72" s="115" t="s">
        <v>352</v>
      </c>
      <c r="B72" s="116"/>
      <c r="C72" s="52" t="s">
        <v>5</v>
      </c>
      <c r="D72" s="97">
        <v>1760.42</v>
      </c>
      <c r="E72" s="65">
        <v>1690</v>
      </c>
    </row>
    <row r="73" spans="1:5" ht="12.75" customHeight="1">
      <c r="A73" s="115" t="s">
        <v>353</v>
      </c>
      <c r="B73" s="116"/>
      <c r="C73" s="52" t="s">
        <v>5</v>
      </c>
      <c r="D73" s="97">
        <v>2104.17</v>
      </c>
      <c r="E73" s="65">
        <v>2020</v>
      </c>
    </row>
    <row r="74" spans="1:5" ht="12.75" customHeight="1">
      <c r="A74" s="115" t="s">
        <v>354</v>
      </c>
      <c r="B74" s="116"/>
      <c r="C74" s="52" t="s">
        <v>5</v>
      </c>
      <c r="D74" s="97">
        <v>2229.17</v>
      </c>
      <c r="E74" s="65">
        <v>2140</v>
      </c>
    </row>
    <row r="75" spans="1:5" ht="26.25" customHeight="1">
      <c r="A75" s="115" t="s">
        <v>355</v>
      </c>
      <c r="B75" s="116"/>
      <c r="C75" s="52" t="s">
        <v>5</v>
      </c>
      <c r="D75" s="142">
        <v>342</v>
      </c>
      <c r="E75" s="143"/>
    </row>
    <row r="76" spans="1:5" ht="25.5">
      <c r="A76" s="121" t="s">
        <v>356</v>
      </c>
      <c r="B76" s="122"/>
      <c r="C76" s="28" t="s">
        <v>2</v>
      </c>
      <c r="D76" s="28" t="s">
        <v>3</v>
      </c>
      <c r="E76" s="28" t="s">
        <v>4</v>
      </c>
    </row>
    <row r="77" spans="1:5">
      <c r="A77" s="115" t="s">
        <v>357</v>
      </c>
      <c r="B77" s="116"/>
      <c r="C77" s="52" t="s">
        <v>5</v>
      </c>
      <c r="D77" s="64">
        <v>357.14</v>
      </c>
      <c r="E77" s="64">
        <v>2500</v>
      </c>
    </row>
    <row r="78" spans="1:5" ht="41.25" customHeight="1">
      <c r="A78" s="121" t="s">
        <v>399</v>
      </c>
      <c r="B78" s="122"/>
      <c r="C78" s="28" t="s">
        <v>2</v>
      </c>
      <c r="D78" s="63" t="s">
        <v>3</v>
      </c>
      <c r="E78" s="63" t="s">
        <v>4</v>
      </c>
    </row>
    <row r="79" spans="1:5">
      <c r="A79" s="115" t="s">
        <v>400</v>
      </c>
      <c r="B79" s="116"/>
      <c r="C79" s="98" t="s">
        <v>377</v>
      </c>
      <c r="D79" s="65">
        <f>E79/3</f>
        <v>599.33333333333337</v>
      </c>
      <c r="E79" s="64">
        <v>1798</v>
      </c>
    </row>
    <row r="80" spans="1:5" ht="12.75" customHeight="1">
      <c r="A80" s="115" t="s">
        <v>401</v>
      </c>
      <c r="B80" s="116"/>
      <c r="C80" s="98" t="s">
        <v>377</v>
      </c>
      <c r="D80" s="65">
        <f t="shared" ref="D80:D81" si="0">E80/3</f>
        <v>779.1</v>
      </c>
      <c r="E80" s="101">
        <v>2337.3000000000002</v>
      </c>
    </row>
    <row r="81" spans="1:5" ht="12.75" customHeight="1">
      <c r="A81" s="115" t="s">
        <v>402</v>
      </c>
      <c r="B81" s="116"/>
      <c r="C81" s="98" t="s">
        <v>377</v>
      </c>
      <c r="D81" s="65">
        <f t="shared" si="0"/>
        <v>1047.8999999999999</v>
      </c>
      <c r="E81" s="64">
        <v>3143.7</v>
      </c>
    </row>
    <row r="84" spans="1:5">
      <c r="C84" s="107"/>
      <c r="D84" s="105" t="s">
        <v>408</v>
      </c>
    </row>
  </sheetData>
  <mergeCells count="81">
    <mergeCell ref="A43:B43"/>
    <mergeCell ref="A44:B44"/>
    <mergeCell ref="A45:B45"/>
    <mergeCell ref="A46:B46"/>
    <mergeCell ref="A47:B47"/>
    <mergeCell ref="A73:B73"/>
    <mergeCell ref="A74:B74"/>
    <mergeCell ref="A75:B75"/>
    <mergeCell ref="A51:B51"/>
    <mergeCell ref="A52:B52"/>
    <mergeCell ref="A53:B53"/>
    <mergeCell ref="D18:E18"/>
    <mergeCell ref="A64:B64"/>
    <mergeCell ref="A65:B65"/>
    <mergeCell ref="A66:B66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36:B36"/>
    <mergeCell ref="A37:B37"/>
    <mergeCell ref="A38:B38"/>
    <mergeCell ref="A41:B41"/>
    <mergeCell ref="A42:B42"/>
    <mergeCell ref="A39:B39"/>
    <mergeCell ref="A40:B40"/>
    <mergeCell ref="A32:B32"/>
    <mergeCell ref="A33:B33"/>
    <mergeCell ref="A34:B34"/>
    <mergeCell ref="A35:B35"/>
    <mergeCell ref="A30:B30"/>
    <mergeCell ref="A31:B3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6:B16"/>
    <mergeCell ref="A17:B17"/>
    <mergeCell ref="A18:B18"/>
    <mergeCell ref="A15:B15"/>
    <mergeCell ref="A19:B19"/>
    <mergeCell ref="A3:B3"/>
    <mergeCell ref="A2:C2"/>
    <mergeCell ref="A6:B6"/>
    <mergeCell ref="A13:B13"/>
    <mergeCell ref="A14:B14"/>
    <mergeCell ref="A9:D9"/>
    <mergeCell ref="A10:B10"/>
    <mergeCell ref="A11:B11"/>
    <mergeCell ref="A12:B12"/>
    <mergeCell ref="A5:F5"/>
    <mergeCell ref="A80:B80"/>
    <mergeCell ref="A81:B81"/>
    <mergeCell ref="A48:B48"/>
    <mergeCell ref="G48:J48"/>
    <mergeCell ref="G60:J61"/>
    <mergeCell ref="A78:B78"/>
    <mergeCell ref="A79:B79"/>
    <mergeCell ref="D75:E75"/>
    <mergeCell ref="A67:B67"/>
    <mergeCell ref="A68:B68"/>
    <mergeCell ref="A69:B69"/>
    <mergeCell ref="A70:B70"/>
    <mergeCell ref="A71:B71"/>
    <mergeCell ref="A76:B76"/>
    <mergeCell ref="A77:B77"/>
    <mergeCell ref="A72:B7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61" workbookViewId="0">
      <selection activeCell="A88" sqref="A88"/>
    </sheetView>
  </sheetViews>
  <sheetFormatPr defaultRowHeight="12.75"/>
  <cols>
    <col min="1" max="1" width="80.6640625" customWidth="1"/>
    <col min="2" max="2" width="9.5" customWidth="1"/>
    <col min="3" max="4" width="14.83203125" customWidth="1"/>
    <col min="5" max="5" width="10.6640625" style="30" bestFit="1" customWidth="1"/>
  </cols>
  <sheetData>
    <row r="1" spans="1:7" ht="22.5" customHeight="1">
      <c r="A1" s="1"/>
      <c r="E1"/>
    </row>
    <row r="2" spans="1:7" ht="16.5" customHeight="1">
      <c r="A2" s="109" t="s">
        <v>410</v>
      </c>
      <c r="E2"/>
    </row>
    <row r="3" spans="1:7" ht="15" customHeight="1">
      <c r="A3" s="111" t="s">
        <v>409</v>
      </c>
      <c r="E3"/>
      <c r="G3" s="105"/>
    </row>
    <row r="4" spans="1:7" ht="11.25" customHeight="1">
      <c r="A4" s="108"/>
      <c r="E4"/>
    </row>
    <row r="5" spans="1:7" ht="15">
      <c r="A5" s="127" t="s">
        <v>411</v>
      </c>
      <c r="B5" s="127"/>
      <c r="C5" s="127"/>
      <c r="D5" s="127"/>
      <c r="E5" s="127"/>
      <c r="F5" s="127"/>
    </row>
    <row r="6" spans="1:7" ht="15">
      <c r="A6" s="112" t="s">
        <v>334</v>
      </c>
      <c r="B6" s="110"/>
      <c r="C6" s="110"/>
      <c r="D6" s="110"/>
      <c r="E6" s="110"/>
      <c r="F6" s="110"/>
    </row>
    <row r="7" spans="1:7">
      <c r="E7"/>
    </row>
    <row r="12" spans="1:7" ht="20.25" customHeight="1">
      <c r="A12" s="123" t="s">
        <v>0</v>
      </c>
      <c r="B12" s="124"/>
      <c r="C12" s="125"/>
      <c r="D12" s="2" t="s">
        <v>51</v>
      </c>
    </row>
    <row r="13" spans="1:7" ht="33.75" customHeight="1">
      <c r="A13" s="62" t="s">
        <v>52</v>
      </c>
      <c r="B13" s="28" t="s">
        <v>2</v>
      </c>
      <c r="C13" s="28" t="s">
        <v>3</v>
      </c>
      <c r="D13" s="28" t="s">
        <v>4</v>
      </c>
    </row>
    <row r="14" spans="1:7" ht="27" customHeight="1">
      <c r="A14" s="75" t="s">
        <v>358</v>
      </c>
      <c r="B14" s="52" t="s">
        <v>53</v>
      </c>
      <c r="C14" s="59">
        <v>383.33</v>
      </c>
      <c r="D14" s="53">
        <v>1150</v>
      </c>
      <c r="E14" s="31"/>
    </row>
    <row r="15" spans="1:7" ht="27" customHeight="1">
      <c r="A15" s="75" t="s">
        <v>359</v>
      </c>
      <c r="B15" s="52" t="s">
        <v>53</v>
      </c>
      <c r="C15" s="59">
        <v>382.22</v>
      </c>
      <c r="D15" s="53">
        <f>1720</f>
        <v>1720</v>
      </c>
      <c r="E15" s="31"/>
    </row>
    <row r="16" spans="1:7" ht="13.5" customHeight="1">
      <c r="A16" s="75" t="s">
        <v>329</v>
      </c>
      <c r="B16" s="66" t="s">
        <v>5</v>
      </c>
      <c r="C16" s="52" t="s">
        <v>13</v>
      </c>
      <c r="D16" s="59">
        <v>350</v>
      </c>
      <c r="E16" s="31"/>
    </row>
    <row r="17" spans="1:5" ht="13.5" customHeight="1">
      <c r="A17" s="3" t="s">
        <v>54</v>
      </c>
      <c r="B17" s="6" t="s">
        <v>55</v>
      </c>
      <c r="C17" s="6" t="s">
        <v>13</v>
      </c>
      <c r="D17" s="37">
        <v>2400</v>
      </c>
      <c r="E17" s="31"/>
    </row>
    <row r="18" spans="1:5" ht="13.5" customHeight="1">
      <c r="A18" s="3" t="s">
        <v>56</v>
      </c>
      <c r="B18" s="6" t="s">
        <v>11</v>
      </c>
      <c r="C18" s="6" t="s">
        <v>13</v>
      </c>
      <c r="D18" s="38">
        <v>899</v>
      </c>
      <c r="E18" s="31"/>
    </row>
    <row r="19" spans="1:5" ht="13.5" customHeight="1">
      <c r="A19" s="3" t="s">
        <v>57</v>
      </c>
      <c r="B19" s="6" t="s">
        <v>32</v>
      </c>
      <c r="C19" s="8">
        <f>32.03*1.05</f>
        <v>33.631500000000003</v>
      </c>
      <c r="D19" s="38">
        <f>51.24*1.05</f>
        <v>53.802000000000007</v>
      </c>
      <c r="E19" s="31"/>
    </row>
    <row r="20" spans="1:5" ht="13.5" customHeight="1">
      <c r="A20" s="3" t="s">
        <v>58</v>
      </c>
      <c r="B20" s="6" t="s">
        <v>53</v>
      </c>
      <c r="C20" s="8">
        <v>30.7</v>
      </c>
      <c r="D20" s="37">
        <v>1535</v>
      </c>
      <c r="E20" s="31"/>
    </row>
    <row r="21" spans="1:5" ht="27" customHeight="1">
      <c r="A21" s="103" t="s">
        <v>403</v>
      </c>
      <c r="B21" s="52" t="s">
        <v>336</v>
      </c>
      <c r="C21" s="59" t="s">
        <v>384</v>
      </c>
      <c r="D21" s="53">
        <v>150</v>
      </c>
      <c r="E21" s="31"/>
    </row>
    <row r="22" spans="1:5" ht="13.5" customHeight="1">
      <c r="A22" s="86" t="s">
        <v>404</v>
      </c>
      <c r="B22" s="52"/>
      <c r="C22" s="59" t="s">
        <v>384</v>
      </c>
      <c r="D22" s="53">
        <v>496</v>
      </c>
      <c r="E22" s="31"/>
    </row>
    <row r="23" spans="1:5" ht="13.5" customHeight="1">
      <c r="A23" s="86" t="s">
        <v>405</v>
      </c>
      <c r="B23" s="66"/>
      <c r="C23" s="59" t="s">
        <v>384</v>
      </c>
      <c r="D23" s="53">
        <v>3870</v>
      </c>
      <c r="E23" s="31"/>
    </row>
    <row r="24" spans="1:5" ht="29.25" customHeight="1">
      <c r="A24" s="78" t="s">
        <v>59</v>
      </c>
      <c r="B24" s="77" t="s">
        <v>2</v>
      </c>
      <c r="C24" s="77" t="s">
        <v>60</v>
      </c>
      <c r="D24" s="77" t="s">
        <v>4</v>
      </c>
    </row>
    <row r="25" spans="1:5" ht="13.5" customHeight="1">
      <c r="A25" s="10" t="s">
        <v>61</v>
      </c>
      <c r="B25" s="9"/>
      <c r="C25" s="9"/>
      <c r="D25" s="9"/>
    </row>
    <row r="26" spans="1:5" ht="13.5" customHeight="1">
      <c r="A26" s="3" t="s">
        <v>62</v>
      </c>
      <c r="B26" s="6" t="s">
        <v>5</v>
      </c>
      <c r="C26" s="38">
        <f>48.56*1.05</f>
        <v>50.988000000000007</v>
      </c>
      <c r="D26" s="38">
        <f>145.69*1.05</f>
        <v>152.97450000000001</v>
      </c>
      <c r="E26" s="31"/>
    </row>
    <row r="27" spans="1:5" ht="13.5" customHeight="1">
      <c r="A27" s="3" t="s">
        <v>63</v>
      </c>
      <c r="B27" s="6" t="s">
        <v>5</v>
      </c>
      <c r="C27" s="38">
        <f>68.88*1.05</f>
        <v>72.323999999999998</v>
      </c>
      <c r="D27" s="38">
        <f>206.64*1.05</f>
        <v>216.97200000000001</v>
      </c>
      <c r="E27" s="31"/>
    </row>
    <row r="28" spans="1:5" ht="13.5" customHeight="1">
      <c r="A28" s="10" t="s">
        <v>64</v>
      </c>
      <c r="B28" s="9"/>
      <c r="C28" s="70"/>
      <c r="D28" s="70"/>
      <c r="E28" s="31"/>
    </row>
    <row r="29" spans="1:5" ht="13.5" customHeight="1">
      <c r="A29" s="3" t="s">
        <v>65</v>
      </c>
      <c r="B29" s="6" t="s">
        <v>5</v>
      </c>
      <c r="C29" s="38">
        <f>80.18*1.05</f>
        <v>84.189000000000007</v>
      </c>
      <c r="D29" s="38">
        <f>240.53*1.05</f>
        <v>252.5565</v>
      </c>
      <c r="E29" s="31"/>
    </row>
    <row r="30" spans="1:5" ht="13.5" customHeight="1">
      <c r="A30" s="3" t="s">
        <v>66</v>
      </c>
      <c r="B30" s="6" t="s">
        <v>5</v>
      </c>
      <c r="C30" s="38">
        <f>95.16*1.05</f>
        <v>99.918000000000006</v>
      </c>
      <c r="D30" s="38">
        <f>285.48*1.05</f>
        <v>299.75400000000002</v>
      </c>
      <c r="E30" s="31"/>
    </row>
    <row r="31" spans="1:5" ht="13.5" customHeight="1">
      <c r="A31" s="3" t="s">
        <v>67</v>
      </c>
      <c r="B31" s="6" t="s">
        <v>5</v>
      </c>
      <c r="C31" s="38">
        <f>111.83*1.05</f>
        <v>117.42150000000001</v>
      </c>
      <c r="D31" s="38">
        <f>335.48*1.05</f>
        <v>352.25400000000002</v>
      </c>
      <c r="E31" s="31"/>
    </row>
    <row r="32" spans="1:5" ht="13.5" customHeight="1">
      <c r="A32" s="10" t="s">
        <v>68</v>
      </c>
      <c r="B32" s="9"/>
      <c r="C32" s="70"/>
      <c r="D32" s="70"/>
    </row>
    <row r="33" spans="1:5" ht="13.5" customHeight="1">
      <c r="A33" s="3" t="s">
        <v>69</v>
      </c>
      <c r="B33" s="6" t="s">
        <v>5</v>
      </c>
      <c r="C33" s="38">
        <f>85.49*1.05</f>
        <v>89.764499999999998</v>
      </c>
      <c r="D33" s="38">
        <f>256.47*1.05</f>
        <v>269.29350000000005</v>
      </c>
      <c r="E33" s="31"/>
    </row>
    <row r="34" spans="1:5" ht="13.5" customHeight="1">
      <c r="A34" s="3" t="s">
        <v>70</v>
      </c>
      <c r="B34" s="6" t="s">
        <v>5</v>
      </c>
      <c r="C34" s="38">
        <f>100.11*1.05</f>
        <v>105.1155</v>
      </c>
      <c r="D34" s="38">
        <f>300.32*1.05</f>
        <v>315.33600000000001</v>
      </c>
      <c r="E34" s="31"/>
    </row>
    <row r="35" spans="1:5" ht="13.5" customHeight="1">
      <c r="A35" s="3" t="s">
        <v>71</v>
      </c>
      <c r="B35" s="6" t="s">
        <v>5</v>
      </c>
      <c r="C35" s="84">
        <f>119.24*1.05</f>
        <v>125.202</v>
      </c>
      <c r="D35" s="84">
        <f>357.71*1.05</f>
        <v>375.59550000000002</v>
      </c>
      <c r="E35" s="31"/>
    </row>
    <row r="36" spans="1:5" ht="28.5" customHeight="1">
      <c r="A36" s="83" t="s">
        <v>367</v>
      </c>
      <c r="B36" s="77" t="s">
        <v>2</v>
      </c>
      <c r="C36" s="77" t="s">
        <v>60</v>
      </c>
      <c r="D36" s="77" t="s">
        <v>4</v>
      </c>
      <c r="E36" s="31"/>
    </row>
    <row r="37" spans="1:5" ht="13.5" customHeight="1">
      <c r="A37" s="86" t="s">
        <v>368</v>
      </c>
      <c r="B37" s="87" t="s">
        <v>336</v>
      </c>
      <c r="C37" s="88">
        <f>D37/3</f>
        <v>85.333333333333329</v>
      </c>
      <c r="D37" s="88">
        <v>256</v>
      </c>
      <c r="E37" s="31"/>
    </row>
    <row r="38" spans="1:5" ht="13.5" customHeight="1">
      <c r="A38" s="86" t="s">
        <v>369</v>
      </c>
      <c r="B38" s="87" t="s">
        <v>336</v>
      </c>
      <c r="C38" s="88">
        <f t="shared" ref="C38:C44" si="0">D38/3</f>
        <v>59.666666666666664</v>
      </c>
      <c r="D38" s="88">
        <v>179</v>
      </c>
      <c r="E38" s="31"/>
    </row>
    <row r="39" spans="1:5" ht="13.5" customHeight="1">
      <c r="A39" s="86" t="s">
        <v>370</v>
      </c>
      <c r="B39" s="87" t="s">
        <v>336</v>
      </c>
      <c r="C39" s="88">
        <f t="shared" si="0"/>
        <v>88</v>
      </c>
      <c r="D39" s="88">
        <v>264</v>
      </c>
      <c r="E39" s="31"/>
    </row>
    <row r="40" spans="1:5" ht="13.5" customHeight="1">
      <c r="A40" s="86" t="s">
        <v>371</v>
      </c>
      <c r="B40" s="87" t="s">
        <v>336</v>
      </c>
      <c r="C40" s="88">
        <f t="shared" si="0"/>
        <v>106.66666666666667</v>
      </c>
      <c r="D40" s="88">
        <v>320</v>
      </c>
      <c r="E40" s="31"/>
    </row>
    <row r="41" spans="1:5" ht="13.5" customHeight="1">
      <c r="A41" s="86" t="s">
        <v>372</v>
      </c>
      <c r="B41" s="87" t="s">
        <v>336</v>
      </c>
      <c r="C41" s="88">
        <f t="shared" si="0"/>
        <v>123</v>
      </c>
      <c r="D41" s="88">
        <v>369</v>
      </c>
      <c r="E41" s="31"/>
    </row>
    <row r="42" spans="1:5" ht="13.5" customHeight="1">
      <c r="A42" s="86" t="s">
        <v>373</v>
      </c>
      <c r="B42" s="87" t="s">
        <v>336</v>
      </c>
      <c r="C42" s="88">
        <f t="shared" si="0"/>
        <v>148.33333333333334</v>
      </c>
      <c r="D42" s="88">
        <v>445</v>
      </c>
      <c r="E42" s="31"/>
    </row>
    <row r="43" spans="1:5" ht="13.5" customHeight="1">
      <c r="A43" s="86" t="s">
        <v>374</v>
      </c>
      <c r="B43" s="87" t="s">
        <v>336</v>
      </c>
      <c r="C43" s="88">
        <f t="shared" si="0"/>
        <v>121.66666666666667</v>
      </c>
      <c r="D43" s="88">
        <v>365</v>
      </c>
      <c r="E43" s="31"/>
    </row>
    <row r="44" spans="1:5" ht="13.5" customHeight="1">
      <c r="A44" s="86" t="s">
        <v>375</v>
      </c>
      <c r="B44" s="87" t="s">
        <v>336</v>
      </c>
      <c r="C44" s="88">
        <f t="shared" si="0"/>
        <v>3</v>
      </c>
      <c r="D44" s="88">
        <v>9</v>
      </c>
      <c r="E44" s="31"/>
    </row>
    <row r="45" spans="1:5" ht="30.75" customHeight="1">
      <c r="A45" s="85" t="s">
        <v>378</v>
      </c>
      <c r="B45" s="79" t="s">
        <v>2</v>
      </c>
      <c r="C45" s="146" t="s">
        <v>327</v>
      </c>
      <c r="D45" s="147"/>
      <c r="E45" s="31"/>
    </row>
    <row r="46" spans="1:5" ht="13.5" customHeight="1">
      <c r="A46" s="86" t="s">
        <v>376</v>
      </c>
      <c r="B46" s="87" t="s">
        <v>377</v>
      </c>
      <c r="C46" s="148">
        <v>546</v>
      </c>
      <c r="D46" s="149"/>
      <c r="E46" s="31"/>
    </row>
    <row r="47" spans="1:5" ht="33" customHeight="1">
      <c r="A47" s="76" t="s">
        <v>72</v>
      </c>
      <c r="B47" s="79" t="s">
        <v>2</v>
      </c>
      <c r="C47" s="82" t="s">
        <v>3</v>
      </c>
      <c r="D47" s="82" t="s">
        <v>73</v>
      </c>
    </row>
    <row r="48" spans="1:5" ht="13.5" customHeight="1">
      <c r="A48" s="3" t="s">
        <v>74</v>
      </c>
      <c r="B48" s="6" t="s">
        <v>32</v>
      </c>
      <c r="C48" s="81" t="s">
        <v>13</v>
      </c>
      <c r="D48" s="90">
        <f>220.5*1.05</f>
        <v>231.52500000000001</v>
      </c>
      <c r="E48" s="31"/>
    </row>
    <row r="49" spans="1:5" ht="13.5" customHeight="1">
      <c r="A49" s="3" t="s">
        <v>75</v>
      </c>
      <c r="B49" s="6" t="s">
        <v>32</v>
      </c>
      <c r="C49" s="6" t="s">
        <v>13</v>
      </c>
      <c r="D49" s="38">
        <f>238.35*1.05</f>
        <v>250.26750000000001</v>
      </c>
      <c r="E49" s="31"/>
    </row>
    <row r="50" spans="1:5" ht="27.75" customHeight="1">
      <c r="A50" s="76" t="s">
        <v>76</v>
      </c>
      <c r="B50" s="77" t="s">
        <v>2</v>
      </c>
      <c r="C50" s="77" t="s">
        <v>60</v>
      </c>
      <c r="D50" s="77" t="s">
        <v>4</v>
      </c>
    </row>
    <row r="51" spans="1:5" ht="13.5" customHeight="1">
      <c r="A51" s="3" t="s">
        <v>77</v>
      </c>
      <c r="B51" s="6" t="s">
        <v>5</v>
      </c>
      <c r="C51" s="38">
        <f>160.65*1.05</f>
        <v>168.6825</v>
      </c>
      <c r="D51" s="38">
        <f>481.95*1.05</f>
        <v>506.04750000000001</v>
      </c>
      <c r="E51" s="31"/>
    </row>
    <row r="52" spans="1:5" ht="13.5" customHeight="1">
      <c r="A52" s="3" t="s">
        <v>78</v>
      </c>
      <c r="B52" s="6" t="s">
        <v>5</v>
      </c>
      <c r="C52" s="38">
        <f>160.65*1.05</f>
        <v>168.6825</v>
      </c>
      <c r="D52" s="38">
        <f>481.95*1.05</f>
        <v>506.04750000000001</v>
      </c>
      <c r="E52" s="31"/>
    </row>
    <row r="53" spans="1:5" ht="13.5" customHeight="1">
      <c r="A53" s="3" t="s">
        <v>79</v>
      </c>
      <c r="B53" s="6" t="s">
        <v>5</v>
      </c>
      <c r="C53" s="38">
        <f>213.57*1.05</f>
        <v>224.24850000000001</v>
      </c>
      <c r="D53" s="38">
        <f>640.71*1.05</f>
        <v>672.74550000000011</v>
      </c>
      <c r="E53" s="31"/>
    </row>
    <row r="54" spans="1:5" ht="13.5" customHeight="1">
      <c r="A54" s="3" t="s">
        <v>80</v>
      </c>
      <c r="B54" s="6" t="s">
        <v>5</v>
      </c>
      <c r="C54" s="38">
        <f>202.97*1.05</f>
        <v>213.11850000000001</v>
      </c>
      <c r="D54" s="38">
        <f>608.9*1.05</f>
        <v>639.34500000000003</v>
      </c>
      <c r="E54" s="31"/>
    </row>
    <row r="55" spans="1:5" ht="13.5" customHeight="1">
      <c r="A55" s="3" t="s">
        <v>81</v>
      </c>
      <c r="B55" s="6" t="s">
        <v>5</v>
      </c>
      <c r="C55" s="38">
        <f>138.92*1.05</f>
        <v>145.86599999999999</v>
      </c>
      <c r="D55" s="38">
        <f>416.75*1.05</f>
        <v>437.58750000000003</v>
      </c>
      <c r="E55" s="31"/>
    </row>
    <row r="56" spans="1:5" ht="13.5" customHeight="1">
      <c r="A56" s="3" t="s">
        <v>82</v>
      </c>
      <c r="B56" s="6" t="s">
        <v>5</v>
      </c>
      <c r="C56" s="38">
        <f>128.1*1.05</f>
        <v>134.505</v>
      </c>
      <c r="D56" s="38">
        <f>384.3*1.05</f>
        <v>403.51500000000004</v>
      </c>
      <c r="E56" s="31"/>
    </row>
    <row r="57" spans="1:5" ht="13.5" customHeight="1">
      <c r="A57" s="3" t="s">
        <v>83</v>
      </c>
      <c r="B57" s="6" t="s">
        <v>5</v>
      </c>
      <c r="C57" s="11" t="s">
        <v>13</v>
      </c>
      <c r="D57" s="38">
        <f>39.9*1.05</f>
        <v>41.895000000000003</v>
      </c>
      <c r="E57" s="31"/>
    </row>
    <row r="58" spans="1:5" ht="13.5" customHeight="1">
      <c r="A58" s="3" t="s">
        <v>84</v>
      </c>
      <c r="B58" s="6" t="s">
        <v>5</v>
      </c>
      <c r="C58" s="11" t="s">
        <v>13</v>
      </c>
      <c r="D58" s="38">
        <f>61.74*1.05</f>
        <v>64.826999999999998</v>
      </c>
      <c r="E58" s="31"/>
    </row>
    <row r="59" spans="1:5" ht="13.5" customHeight="1">
      <c r="A59" s="3" t="s">
        <v>85</v>
      </c>
      <c r="B59" s="6" t="s">
        <v>5</v>
      </c>
      <c r="C59" s="11" t="s">
        <v>13</v>
      </c>
      <c r="D59" s="38">
        <f>51.45*1.05</f>
        <v>54.022500000000008</v>
      </c>
      <c r="E59" s="31"/>
    </row>
    <row r="60" spans="1:5" ht="32.25" customHeight="1">
      <c r="A60" s="76" t="s">
        <v>86</v>
      </c>
      <c r="B60" s="77" t="s">
        <v>2</v>
      </c>
      <c r="C60" s="77" t="s">
        <v>60</v>
      </c>
      <c r="D60" s="77" t="s">
        <v>4</v>
      </c>
    </row>
    <row r="61" spans="1:5" ht="26.25" customHeight="1">
      <c r="A61" s="50" t="s">
        <v>366</v>
      </c>
      <c r="B61" s="11" t="s">
        <v>5</v>
      </c>
      <c r="C61" s="6" t="s">
        <v>13</v>
      </c>
      <c r="D61" s="12" t="s">
        <v>12</v>
      </c>
    </row>
    <row r="62" spans="1:5" ht="13.5" customHeight="1">
      <c r="A62" s="3" t="s">
        <v>87</v>
      </c>
      <c r="B62" s="6" t="s">
        <v>5</v>
      </c>
      <c r="C62" s="6" t="s">
        <v>13</v>
      </c>
      <c r="D62" s="4" t="s">
        <v>12</v>
      </c>
    </row>
    <row r="63" spans="1:5" ht="28.5" customHeight="1">
      <c r="A63" s="76" t="s">
        <v>88</v>
      </c>
      <c r="B63" s="77" t="s">
        <v>2</v>
      </c>
      <c r="C63" s="80"/>
      <c r="D63" s="77" t="s">
        <v>4</v>
      </c>
    </row>
    <row r="64" spans="1:5" ht="13.5" customHeight="1">
      <c r="A64" s="86" t="s">
        <v>89</v>
      </c>
      <c r="B64" s="66" t="s">
        <v>5</v>
      </c>
      <c r="C64" s="66" t="s">
        <v>13</v>
      </c>
      <c r="D64" s="53">
        <f>1417.5*1.05</f>
        <v>1488.375</v>
      </c>
      <c r="E64" s="31"/>
    </row>
    <row r="65" spans="1:5" ht="13.5" customHeight="1">
      <c r="A65" s="86" t="s">
        <v>90</v>
      </c>
      <c r="B65" s="66" t="s">
        <v>5</v>
      </c>
      <c r="C65" s="66" t="s">
        <v>13</v>
      </c>
      <c r="D65" s="53">
        <f>1942.5*1.05</f>
        <v>2039.625</v>
      </c>
      <c r="E65" s="31"/>
    </row>
    <row r="66" spans="1:5" ht="13.5" customHeight="1">
      <c r="A66" s="86" t="s">
        <v>91</v>
      </c>
      <c r="B66" s="66" t="s">
        <v>5</v>
      </c>
      <c r="C66" s="66" t="s">
        <v>13</v>
      </c>
      <c r="D66" s="53">
        <f>2467.5*1.05</f>
        <v>2590.875</v>
      </c>
      <c r="E66" s="31"/>
    </row>
    <row r="67" spans="1:5" ht="13.5" customHeight="1">
      <c r="A67" s="86" t="s">
        <v>92</v>
      </c>
      <c r="B67" s="66" t="s">
        <v>5</v>
      </c>
      <c r="C67" s="66" t="s">
        <v>13</v>
      </c>
      <c r="D67" s="53">
        <f>2992.5*1.05</f>
        <v>3142.125</v>
      </c>
      <c r="E67" s="31"/>
    </row>
    <row r="68" spans="1:5" ht="13.5" customHeight="1">
      <c r="A68" s="86" t="s">
        <v>93</v>
      </c>
      <c r="B68" s="66" t="s">
        <v>5</v>
      </c>
      <c r="C68" s="66" t="s">
        <v>13</v>
      </c>
      <c r="D68" s="53">
        <f>3727.5*1.05</f>
        <v>3913.875</v>
      </c>
      <c r="E68" s="31"/>
    </row>
    <row r="69" spans="1:5">
      <c r="A69" s="92" t="s">
        <v>379</v>
      </c>
      <c r="B69" s="93" t="s">
        <v>336</v>
      </c>
      <c r="C69" s="93" t="s">
        <v>384</v>
      </c>
      <c r="D69" s="94">
        <v>1520</v>
      </c>
    </row>
    <row r="70" spans="1:5">
      <c r="A70" s="92" t="s">
        <v>380</v>
      </c>
      <c r="B70" s="93" t="s">
        <v>336</v>
      </c>
      <c r="C70" s="93" t="s">
        <v>384</v>
      </c>
      <c r="D70" s="94">
        <v>1860</v>
      </c>
    </row>
    <row r="71" spans="1:5">
      <c r="A71" s="92" t="s">
        <v>381</v>
      </c>
      <c r="B71" s="93" t="s">
        <v>336</v>
      </c>
      <c r="C71" s="93" t="s">
        <v>384</v>
      </c>
      <c r="D71" s="94">
        <v>2260</v>
      </c>
    </row>
    <row r="72" spans="1:5">
      <c r="A72" s="92" t="s">
        <v>382</v>
      </c>
      <c r="B72" s="93" t="s">
        <v>336</v>
      </c>
      <c r="C72" s="93" t="s">
        <v>384</v>
      </c>
      <c r="D72" s="94">
        <v>2580</v>
      </c>
    </row>
    <row r="73" spans="1:5">
      <c r="A73" s="92" t="s">
        <v>383</v>
      </c>
      <c r="B73" s="93" t="s">
        <v>336</v>
      </c>
      <c r="C73" s="93" t="s">
        <v>384</v>
      </c>
      <c r="D73" s="94">
        <v>2980</v>
      </c>
    </row>
    <row r="74" spans="1:5" ht="25.5">
      <c r="A74" s="85" t="s">
        <v>385</v>
      </c>
      <c r="B74" s="77" t="s">
        <v>2</v>
      </c>
      <c r="C74" s="80"/>
      <c r="D74" s="77" t="s">
        <v>4</v>
      </c>
    </row>
    <row r="75" spans="1:5">
      <c r="A75" s="89" t="s">
        <v>386</v>
      </c>
      <c r="B75" s="66" t="s">
        <v>5</v>
      </c>
      <c r="C75" s="66" t="s">
        <v>13</v>
      </c>
      <c r="D75" s="53">
        <v>240</v>
      </c>
    </row>
    <row r="76" spans="1:5">
      <c r="A76" s="89" t="s">
        <v>387</v>
      </c>
      <c r="B76" s="66" t="s">
        <v>5</v>
      </c>
      <c r="C76" s="66" t="s">
        <v>13</v>
      </c>
      <c r="D76" s="53">
        <v>0.92</v>
      </c>
    </row>
    <row r="77" spans="1:5">
      <c r="A77" s="91" t="s">
        <v>388</v>
      </c>
      <c r="B77" s="66" t="s">
        <v>5</v>
      </c>
      <c r="C77" s="66" t="s">
        <v>13</v>
      </c>
      <c r="D77" s="53">
        <v>0.53</v>
      </c>
    </row>
    <row r="78" spans="1:5">
      <c r="A78" s="86" t="s">
        <v>389</v>
      </c>
      <c r="B78" s="66" t="s">
        <v>5</v>
      </c>
      <c r="C78" s="66" t="s">
        <v>13</v>
      </c>
      <c r="D78" s="53">
        <v>0.86</v>
      </c>
    </row>
    <row r="79" spans="1:5">
      <c r="A79" s="86" t="s">
        <v>390</v>
      </c>
      <c r="B79" s="66" t="s">
        <v>5</v>
      </c>
      <c r="C79" s="66" t="s">
        <v>13</v>
      </c>
      <c r="D79" s="53">
        <v>298</v>
      </c>
    </row>
    <row r="80" spans="1:5">
      <c r="A80" s="92" t="s">
        <v>391</v>
      </c>
      <c r="B80" s="93" t="s">
        <v>336</v>
      </c>
      <c r="C80" s="93" t="s">
        <v>384</v>
      </c>
      <c r="D80" s="94">
        <v>156</v>
      </c>
    </row>
    <row r="81" spans="1:4">
      <c r="A81" s="92" t="s">
        <v>392</v>
      </c>
      <c r="B81" s="93" t="s">
        <v>336</v>
      </c>
      <c r="C81" s="93" t="s">
        <v>384</v>
      </c>
      <c r="D81" s="94">
        <v>143</v>
      </c>
    </row>
    <row r="82" spans="1:4" ht="25.5">
      <c r="A82" s="85" t="s">
        <v>393</v>
      </c>
      <c r="B82" s="77" t="s">
        <v>2</v>
      </c>
      <c r="C82" s="80"/>
      <c r="D82" s="77" t="s">
        <v>4</v>
      </c>
    </row>
    <row r="83" spans="1:4">
      <c r="A83" s="89" t="s">
        <v>394</v>
      </c>
      <c r="B83" s="66" t="s">
        <v>5</v>
      </c>
      <c r="C83" s="66" t="s">
        <v>13</v>
      </c>
      <c r="D83" s="53">
        <v>992</v>
      </c>
    </row>
    <row r="84" spans="1:4">
      <c r="A84" s="89" t="s">
        <v>395</v>
      </c>
      <c r="B84" s="66" t="s">
        <v>5</v>
      </c>
      <c r="C84" s="66" t="s">
        <v>13</v>
      </c>
      <c r="D84" s="53">
        <v>1654</v>
      </c>
    </row>
  </sheetData>
  <mergeCells count="4">
    <mergeCell ref="A12:C12"/>
    <mergeCell ref="C45:D45"/>
    <mergeCell ref="C46:D46"/>
    <mergeCell ref="A5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8" workbookViewId="0">
      <selection activeCell="F9" sqref="F9"/>
    </sheetView>
  </sheetViews>
  <sheetFormatPr defaultRowHeight="12.75"/>
  <cols>
    <col min="1" max="1" width="53.5" customWidth="1"/>
    <col min="2" max="2" width="22.1640625" customWidth="1"/>
    <col min="3" max="3" width="12" customWidth="1"/>
    <col min="4" max="5" width="16.1640625" customWidth="1"/>
    <col min="6" max="6" width="22.5" customWidth="1"/>
    <col min="7" max="7" width="9.33203125" style="30"/>
    <col min="9" max="9" width="11.6640625" bestFit="1" customWidth="1"/>
    <col min="23" max="23" width="9.33203125" customWidth="1"/>
  </cols>
  <sheetData>
    <row r="1" spans="1:9" ht="21" customHeight="1">
      <c r="A1" s="1"/>
    </row>
    <row r="2" spans="1:9" ht="19.5" customHeight="1">
      <c r="A2" s="150" t="s">
        <v>410</v>
      </c>
      <c r="B2" s="150"/>
      <c r="C2" s="150"/>
    </row>
    <row r="3" spans="1:9" ht="17.25" customHeight="1">
      <c r="A3" s="128" t="s">
        <v>409</v>
      </c>
      <c r="B3" s="128"/>
      <c r="C3" s="128"/>
    </row>
    <row r="4" spans="1:9" ht="6.75" customHeight="1">
      <c r="A4" s="108"/>
    </row>
    <row r="5" spans="1:9" ht="18.75" customHeight="1">
      <c r="A5" s="127" t="s">
        <v>411</v>
      </c>
      <c r="B5" s="127"/>
      <c r="C5" s="127"/>
      <c r="D5" s="127"/>
      <c r="E5" s="127"/>
      <c r="F5" s="127"/>
    </row>
    <row r="6" spans="1:9" ht="13.5" customHeight="1">
      <c r="A6" s="130" t="s">
        <v>334</v>
      </c>
      <c r="B6" s="130"/>
      <c r="C6" s="130"/>
      <c r="D6" s="110"/>
      <c r="E6" s="110"/>
      <c r="F6" s="110"/>
    </row>
    <row r="7" spans="1:9" ht="13.5" customHeight="1">
      <c r="G7" s="31"/>
      <c r="I7" s="51"/>
    </row>
    <row r="8" spans="1:9" ht="13.5" customHeight="1">
      <c r="E8" s="30"/>
      <c r="G8" s="31"/>
      <c r="I8" s="51"/>
    </row>
    <row r="9" spans="1:9" ht="13.5" customHeight="1">
      <c r="E9" s="30"/>
      <c r="G9" s="31"/>
      <c r="I9" s="51"/>
    </row>
    <row r="10" spans="1:9" ht="21" customHeight="1">
      <c r="A10" s="151" t="s">
        <v>94</v>
      </c>
      <c r="B10" s="152"/>
      <c r="C10" s="152"/>
      <c r="D10" s="153"/>
      <c r="E10" s="13" t="s">
        <v>1</v>
      </c>
      <c r="G10" s="31"/>
      <c r="I10" s="51"/>
    </row>
    <row r="11" spans="1:9" ht="29.25" customHeight="1">
      <c r="A11" s="154" t="s">
        <v>95</v>
      </c>
      <c r="B11" s="155"/>
      <c r="C11" s="71" t="s">
        <v>2</v>
      </c>
      <c r="D11" s="71" t="s">
        <v>3</v>
      </c>
      <c r="E11" s="71" t="s">
        <v>4</v>
      </c>
      <c r="G11" s="31"/>
      <c r="I11" s="51"/>
    </row>
    <row r="12" spans="1:9" ht="13.5" customHeight="1">
      <c r="A12" s="136" t="s">
        <v>96</v>
      </c>
      <c r="B12" s="137"/>
      <c r="C12" s="11" t="s">
        <v>5</v>
      </c>
      <c r="D12" s="6" t="s">
        <v>13</v>
      </c>
      <c r="E12" s="38">
        <v>358</v>
      </c>
      <c r="G12" s="31"/>
      <c r="I12" s="51"/>
    </row>
    <row r="13" spans="1:9" ht="13.5" customHeight="1">
      <c r="A13" s="136" t="s">
        <v>97</v>
      </c>
      <c r="B13" s="137"/>
      <c r="C13" s="11" t="s">
        <v>5</v>
      </c>
      <c r="D13" s="6" t="s">
        <v>13</v>
      </c>
      <c r="E13" s="38">
        <v>358</v>
      </c>
      <c r="G13" s="31"/>
      <c r="I13" s="51"/>
    </row>
    <row r="14" spans="1:9" ht="13.5" customHeight="1">
      <c r="A14" s="136" t="s">
        <v>98</v>
      </c>
      <c r="B14" s="137"/>
      <c r="C14" s="11" t="s">
        <v>99</v>
      </c>
      <c r="D14" s="6" t="s">
        <v>100</v>
      </c>
      <c r="E14" s="58">
        <f>420*1.05</f>
        <v>441</v>
      </c>
      <c r="G14" s="31"/>
      <c r="I14" s="51"/>
    </row>
    <row r="15" spans="1:9" ht="13.5" customHeight="1">
      <c r="A15" s="136" t="s">
        <v>101</v>
      </c>
      <c r="B15" s="137"/>
      <c r="C15" s="11" t="s">
        <v>99</v>
      </c>
      <c r="D15" s="6" t="s">
        <v>100</v>
      </c>
      <c r="E15" s="58">
        <f>504*1.05</f>
        <v>529.20000000000005</v>
      </c>
      <c r="G15" s="31"/>
      <c r="I15" s="51"/>
    </row>
    <row r="16" spans="1:9" ht="13.5" customHeight="1">
      <c r="A16" s="136" t="s">
        <v>102</v>
      </c>
      <c r="B16" s="137"/>
      <c r="C16" s="11" t="s">
        <v>99</v>
      </c>
      <c r="D16" s="6" t="s">
        <v>100</v>
      </c>
      <c r="E16" s="58">
        <f>504*1.05</f>
        <v>529.20000000000005</v>
      </c>
      <c r="G16" s="31"/>
      <c r="I16" s="51"/>
    </row>
    <row r="17" spans="1:9" ht="13.5" customHeight="1">
      <c r="A17" s="136" t="s">
        <v>103</v>
      </c>
      <c r="B17" s="137"/>
      <c r="C17" s="11" t="s">
        <v>5</v>
      </c>
      <c r="D17" s="6" t="s">
        <v>13</v>
      </c>
      <c r="E17" s="38">
        <v>358</v>
      </c>
      <c r="G17" s="31"/>
      <c r="I17" s="51"/>
    </row>
    <row r="18" spans="1:9" ht="13.5" customHeight="1">
      <c r="A18" s="136" t="s">
        <v>104</v>
      </c>
      <c r="B18" s="137"/>
      <c r="C18" s="11" t="s">
        <v>5</v>
      </c>
      <c r="D18" s="6" t="s">
        <v>13</v>
      </c>
      <c r="E18" s="38">
        <v>358</v>
      </c>
      <c r="G18" s="31"/>
      <c r="I18" s="51"/>
    </row>
    <row r="19" spans="1:9" ht="13.5" customHeight="1">
      <c r="A19" s="136" t="s">
        <v>105</v>
      </c>
      <c r="B19" s="137"/>
      <c r="C19" s="11" t="s">
        <v>99</v>
      </c>
      <c r="D19" s="6" t="s">
        <v>100</v>
      </c>
      <c r="E19" s="58">
        <f>420*1.05</f>
        <v>441</v>
      </c>
      <c r="G19" s="31"/>
      <c r="I19" s="51"/>
    </row>
    <row r="20" spans="1:9" ht="13.5" customHeight="1">
      <c r="A20" s="136" t="s">
        <v>106</v>
      </c>
      <c r="B20" s="137"/>
      <c r="C20" s="11" t="s">
        <v>99</v>
      </c>
      <c r="D20" s="6" t="s">
        <v>100</v>
      </c>
      <c r="E20" s="58">
        <f>504*1.05</f>
        <v>529.20000000000005</v>
      </c>
      <c r="G20" s="31"/>
      <c r="I20" s="51"/>
    </row>
    <row r="21" spans="1:9" ht="13.5" customHeight="1">
      <c r="A21" s="136" t="s">
        <v>107</v>
      </c>
      <c r="B21" s="137"/>
      <c r="C21" s="11" t="s">
        <v>99</v>
      </c>
      <c r="D21" s="6" t="s">
        <v>100</v>
      </c>
      <c r="E21" s="58">
        <f>504*1.05</f>
        <v>529.20000000000005</v>
      </c>
      <c r="G21" s="31"/>
      <c r="I21" s="51"/>
    </row>
    <row r="22" spans="1:9" ht="13.5" customHeight="1">
      <c r="A22" s="136" t="s">
        <v>108</v>
      </c>
      <c r="B22" s="137"/>
      <c r="C22" s="11" t="s">
        <v>5</v>
      </c>
      <c r="D22" s="6" t="s">
        <v>13</v>
      </c>
      <c r="E22" s="38">
        <f>383.25*1.05</f>
        <v>402.41250000000002</v>
      </c>
      <c r="G22" s="31"/>
      <c r="I22" s="51"/>
    </row>
    <row r="23" spans="1:9" ht="13.5" customHeight="1">
      <c r="A23" s="136" t="s">
        <v>109</v>
      </c>
      <c r="B23" s="137"/>
      <c r="C23" s="11" t="s">
        <v>5</v>
      </c>
      <c r="D23" s="6" t="s">
        <v>13</v>
      </c>
      <c r="E23" s="38">
        <v>358</v>
      </c>
      <c r="G23" s="31"/>
      <c r="I23" s="51"/>
    </row>
    <row r="24" spans="1:9" ht="13.5" customHeight="1">
      <c r="A24" s="136" t="s">
        <v>110</v>
      </c>
      <c r="B24" s="137"/>
      <c r="C24" s="11" t="s">
        <v>5</v>
      </c>
      <c r="D24" s="6" t="s">
        <v>13</v>
      </c>
      <c r="E24" s="38">
        <v>358</v>
      </c>
      <c r="I24" s="51"/>
    </row>
    <row r="25" spans="1:9" ht="13.5" customHeight="1">
      <c r="A25" s="136" t="s">
        <v>111</v>
      </c>
      <c r="B25" s="137"/>
      <c r="C25" s="11" t="s">
        <v>99</v>
      </c>
      <c r="D25" s="6" t="s">
        <v>100</v>
      </c>
      <c r="E25" s="58">
        <f>420*1.05</f>
        <v>441</v>
      </c>
      <c r="I25" s="51"/>
    </row>
    <row r="26" spans="1:9" ht="13.5" customHeight="1">
      <c r="A26" s="136" t="s">
        <v>112</v>
      </c>
      <c r="B26" s="137"/>
      <c r="C26" s="11" t="s">
        <v>99</v>
      </c>
      <c r="D26" s="6" t="s">
        <v>100</v>
      </c>
      <c r="E26" s="58">
        <f>504*1.05</f>
        <v>529.20000000000005</v>
      </c>
      <c r="G26" s="31"/>
      <c r="I26" s="51"/>
    </row>
    <row r="27" spans="1:9" ht="17.25" customHeight="1">
      <c r="A27" s="136" t="s">
        <v>113</v>
      </c>
      <c r="B27" s="137"/>
      <c r="C27" s="11" t="s">
        <v>99</v>
      </c>
      <c r="D27" s="11" t="s">
        <v>100</v>
      </c>
      <c r="E27" s="58">
        <f>504*1.05</f>
        <v>529.20000000000005</v>
      </c>
      <c r="G27" s="31"/>
      <c r="I27" s="51"/>
    </row>
    <row r="28" spans="1:9" ht="13.5" customHeight="1">
      <c r="A28" s="126" t="s">
        <v>114</v>
      </c>
      <c r="B28" s="116"/>
      <c r="C28" s="104"/>
      <c r="D28" s="156">
        <v>358</v>
      </c>
      <c r="E28" s="157"/>
      <c r="G28" s="31"/>
      <c r="I28" s="51"/>
    </row>
    <row r="29" spans="1:9" ht="13.5" customHeight="1">
      <c r="A29" s="126" t="s">
        <v>115</v>
      </c>
      <c r="B29" s="116"/>
      <c r="C29" s="104"/>
      <c r="D29" s="156">
        <v>442</v>
      </c>
      <c r="E29" s="157"/>
      <c r="I29" s="51"/>
    </row>
    <row r="30" spans="1:9" ht="13.5" customHeight="1">
      <c r="A30" s="126" t="s">
        <v>116</v>
      </c>
      <c r="B30" s="116"/>
      <c r="C30" s="52" t="s">
        <v>117</v>
      </c>
      <c r="D30" s="66" t="s">
        <v>13</v>
      </c>
      <c r="E30" s="59">
        <v>185</v>
      </c>
      <c r="I30" s="51"/>
    </row>
    <row r="31" spans="1:9" ht="13.5" customHeight="1">
      <c r="A31" s="138" t="s">
        <v>118</v>
      </c>
      <c r="B31" s="139"/>
      <c r="C31" s="52" t="s">
        <v>119</v>
      </c>
      <c r="D31" s="66" t="s">
        <v>13</v>
      </c>
      <c r="E31" s="53">
        <v>5508</v>
      </c>
      <c r="G31" s="31"/>
      <c r="I31" s="51"/>
    </row>
    <row r="32" spans="1:9" ht="13.5" customHeight="1">
      <c r="A32" s="126" t="s">
        <v>120</v>
      </c>
      <c r="B32" s="116"/>
      <c r="C32" s="52" t="s">
        <v>5</v>
      </c>
      <c r="D32" s="66" t="s">
        <v>13</v>
      </c>
      <c r="E32" s="59">
        <v>36</v>
      </c>
      <c r="G32" s="31"/>
      <c r="I32" s="51"/>
    </row>
    <row r="33" spans="1:9" ht="13.5" customHeight="1">
      <c r="A33" s="158" t="s">
        <v>362</v>
      </c>
      <c r="B33" s="159"/>
      <c r="C33" s="14" t="s">
        <v>2</v>
      </c>
      <c r="D33" s="15" t="s">
        <v>3</v>
      </c>
      <c r="E33" s="15" t="s">
        <v>4</v>
      </c>
      <c r="G33" s="31"/>
      <c r="I33" s="51"/>
    </row>
    <row r="34" spans="1:9" ht="13.5" customHeight="1">
      <c r="A34" s="160" t="s">
        <v>121</v>
      </c>
      <c r="B34" s="161"/>
      <c r="C34" s="161"/>
      <c r="D34" s="161"/>
      <c r="E34" s="162"/>
      <c r="G34" s="31"/>
      <c r="I34" s="51"/>
    </row>
    <row r="35" spans="1:9" ht="13.5" customHeight="1">
      <c r="A35" s="136" t="s">
        <v>122</v>
      </c>
      <c r="B35" s="137"/>
      <c r="C35" s="4" t="s">
        <v>32</v>
      </c>
      <c r="D35" s="17">
        <f>5021.31*1.05</f>
        <v>5272.375500000001</v>
      </c>
      <c r="E35" s="17">
        <f>7531.97*1.05</f>
        <v>7908.5685000000003</v>
      </c>
      <c r="G35" s="31"/>
      <c r="I35" s="51"/>
    </row>
    <row r="36" spans="1:9" ht="13.5" customHeight="1">
      <c r="A36" s="136" t="s">
        <v>123</v>
      </c>
      <c r="B36" s="137"/>
      <c r="C36" s="4" t="s">
        <v>32</v>
      </c>
      <c r="D36" s="17">
        <f>9910.64*1.05</f>
        <v>10406.172</v>
      </c>
      <c r="E36" s="17">
        <f>14865.95*1.05</f>
        <v>15609.247500000001</v>
      </c>
      <c r="G36" s="31"/>
      <c r="I36" s="51"/>
    </row>
    <row r="37" spans="1:9" ht="13.5" customHeight="1">
      <c r="A37" s="136" t="s">
        <v>124</v>
      </c>
      <c r="B37" s="137"/>
      <c r="C37" s="4" t="s">
        <v>32</v>
      </c>
      <c r="D37" s="17">
        <f>6342.74*1.05</f>
        <v>6659.8770000000004</v>
      </c>
      <c r="E37" s="17">
        <f>9514.1*1.05</f>
        <v>9989.8050000000003</v>
      </c>
      <c r="G37" s="31"/>
      <c r="I37" s="51"/>
    </row>
    <row r="38" spans="1:9" ht="13.5" customHeight="1">
      <c r="A38" s="136" t="s">
        <v>125</v>
      </c>
      <c r="B38" s="137"/>
      <c r="C38" s="4" t="s">
        <v>32</v>
      </c>
      <c r="D38" s="17">
        <f>11099.76*1.05</f>
        <v>11654.748000000001</v>
      </c>
      <c r="E38" s="17">
        <f>16649.64*1.05</f>
        <v>17482.121999999999</v>
      </c>
      <c r="G38" s="31"/>
      <c r="I38" s="51"/>
    </row>
    <row r="39" spans="1:9" ht="13.5" customHeight="1">
      <c r="A39" s="136" t="s">
        <v>126</v>
      </c>
      <c r="B39" s="137"/>
      <c r="C39" s="4" t="s">
        <v>32</v>
      </c>
      <c r="D39" s="17">
        <f>7532.07*1.05</f>
        <v>7908.6734999999999</v>
      </c>
      <c r="E39" s="17">
        <f>11298.11*1.05</f>
        <v>11863.015500000001</v>
      </c>
      <c r="G39" s="31"/>
      <c r="I39" s="51"/>
    </row>
    <row r="40" spans="1:9" ht="13.5" customHeight="1">
      <c r="A40" s="136" t="s">
        <v>127</v>
      </c>
      <c r="B40" s="137"/>
      <c r="C40" s="4" t="s">
        <v>32</v>
      </c>
      <c r="D40" s="17">
        <f>13081.95*1.05</f>
        <v>13736.047500000001</v>
      </c>
      <c r="E40" s="17">
        <f>19622.93*1.05</f>
        <v>20604.076500000003</v>
      </c>
      <c r="G40" s="31"/>
      <c r="I40" s="51"/>
    </row>
    <row r="41" spans="1:9" ht="13.5" customHeight="1">
      <c r="A41" s="136" t="s">
        <v>128</v>
      </c>
      <c r="B41" s="137"/>
      <c r="C41" s="4" t="s">
        <v>32</v>
      </c>
      <c r="D41" s="17">
        <f>8457.02*1.05</f>
        <v>8879.871000000001</v>
      </c>
      <c r="E41" s="17">
        <f>12685.52*1.05</f>
        <v>13319.796</v>
      </c>
      <c r="G41" s="31"/>
      <c r="I41" s="51"/>
    </row>
    <row r="42" spans="1:9" ht="13.5" customHeight="1">
      <c r="A42" s="136" t="s">
        <v>129</v>
      </c>
      <c r="B42" s="137"/>
      <c r="C42" s="4" t="s">
        <v>32</v>
      </c>
      <c r="D42" s="17">
        <f>15328.22*1.05</f>
        <v>16094.630999999999</v>
      </c>
      <c r="E42" s="17">
        <f>22992.32*1.05</f>
        <v>24141.936000000002</v>
      </c>
      <c r="G42" s="31"/>
      <c r="I42" s="51"/>
    </row>
    <row r="43" spans="1:9" ht="13.5" customHeight="1">
      <c r="A43" s="136" t="s">
        <v>130</v>
      </c>
      <c r="B43" s="137"/>
      <c r="C43" s="4" t="s">
        <v>32</v>
      </c>
      <c r="D43" s="17">
        <f>10042.62*1.05</f>
        <v>10544.751000000002</v>
      </c>
      <c r="E43" s="17">
        <f>15063.93*1.05</f>
        <v>15817.1265</v>
      </c>
      <c r="G43" s="31"/>
      <c r="I43" s="51"/>
    </row>
    <row r="44" spans="1:9" ht="13.5" customHeight="1">
      <c r="A44" s="136" t="s">
        <v>131</v>
      </c>
      <c r="B44" s="137"/>
      <c r="C44" s="4" t="s">
        <v>32</v>
      </c>
      <c r="D44" s="17">
        <f>18367.55*1.05</f>
        <v>19285.927500000002</v>
      </c>
      <c r="E44" s="17">
        <f>27551.32*1.05</f>
        <v>28928.886000000002</v>
      </c>
      <c r="G44" s="31"/>
      <c r="I44" s="51"/>
    </row>
    <row r="45" spans="1:9" ht="13.5" customHeight="1">
      <c r="A45" s="136" t="s">
        <v>132</v>
      </c>
      <c r="B45" s="137"/>
      <c r="C45" s="4" t="s">
        <v>32</v>
      </c>
      <c r="D45" s="17">
        <f>12685.47*1.05</f>
        <v>13319.7435</v>
      </c>
      <c r="E45" s="17">
        <f>19028.21*1.05</f>
        <v>19979.620500000001</v>
      </c>
      <c r="G45" s="31"/>
      <c r="I45" s="51"/>
    </row>
    <row r="46" spans="1:9" ht="13.5" customHeight="1">
      <c r="A46" s="136" t="s">
        <v>133</v>
      </c>
      <c r="B46" s="137"/>
      <c r="C46" s="4" t="s">
        <v>32</v>
      </c>
      <c r="D46" s="17">
        <f>24181.71*1.05</f>
        <v>25390.7955</v>
      </c>
      <c r="E46" s="17">
        <f>36272.57*1.05</f>
        <v>38086.198499999999</v>
      </c>
      <c r="G46" s="31"/>
      <c r="I46" s="51"/>
    </row>
    <row r="47" spans="1:9" ht="13.5" customHeight="1">
      <c r="A47" s="136" t="s">
        <v>134</v>
      </c>
      <c r="B47" s="137"/>
      <c r="C47" s="4" t="s">
        <v>32</v>
      </c>
      <c r="D47" s="17">
        <f>15196.23*1.05</f>
        <v>15956.041499999999</v>
      </c>
      <c r="E47" s="17">
        <f>22794.35*1.05</f>
        <v>23934.067500000001</v>
      </c>
      <c r="I47" s="51"/>
    </row>
    <row r="48" spans="1:9" ht="13.5" customHeight="1">
      <c r="A48" s="136" t="s">
        <v>135</v>
      </c>
      <c r="B48" s="137"/>
      <c r="C48" s="4" t="s">
        <v>32</v>
      </c>
      <c r="D48" s="17">
        <f>29599.29*1.05</f>
        <v>31079.254500000003</v>
      </c>
      <c r="E48" s="17">
        <f>44398.94*1.05</f>
        <v>46618.887000000002</v>
      </c>
      <c r="G48" s="31"/>
      <c r="I48" s="51"/>
    </row>
    <row r="49" spans="1:9" ht="13.5" customHeight="1">
      <c r="A49" s="136" t="s">
        <v>136</v>
      </c>
      <c r="B49" s="137"/>
      <c r="C49" s="4" t="s">
        <v>32</v>
      </c>
      <c r="D49" s="17">
        <f>19424.69*1.05</f>
        <v>20395.924500000001</v>
      </c>
      <c r="E49" s="17">
        <f>29137.03*1.05</f>
        <v>30593.8815</v>
      </c>
      <c r="G49" s="31"/>
      <c r="I49" s="51"/>
    </row>
    <row r="50" spans="1:9" ht="13.5" customHeight="1">
      <c r="A50" s="136" t="s">
        <v>137</v>
      </c>
      <c r="B50" s="137"/>
      <c r="C50" s="4" t="s">
        <v>32</v>
      </c>
      <c r="D50" s="17">
        <f>39245.64*1.05</f>
        <v>41207.921999999999</v>
      </c>
      <c r="E50" s="17">
        <f>58868.46*1.05</f>
        <v>61811.883000000002</v>
      </c>
      <c r="G50" s="31"/>
      <c r="I50" s="51"/>
    </row>
    <row r="51" spans="1:9" ht="13.5" customHeight="1">
      <c r="A51" s="163" t="s">
        <v>138</v>
      </c>
      <c r="B51" s="164"/>
      <c r="C51" s="14" t="s">
        <v>2</v>
      </c>
      <c r="D51" s="15" t="s">
        <v>3</v>
      </c>
      <c r="E51" s="15" t="s">
        <v>4</v>
      </c>
      <c r="G51" s="31"/>
      <c r="I51" s="51"/>
    </row>
    <row r="52" spans="1:9" ht="13.5" customHeight="1">
      <c r="A52" s="136" t="s">
        <v>139</v>
      </c>
      <c r="B52" s="137"/>
      <c r="C52" s="4" t="s">
        <v>140</v>
      </c>
      <c r="D52" s="19">
        <f>17310.41*1.05</f>
        <v>18175.930500000002</v>
      </c>
      <c r="E52" s="19">
        <f>25965.61*1.05</f>
        <v>27263.890500000001</v>
      </c>
      <c r="G52" s="31"/>
      <c r="I52" s="51"/>
    </row>
    <row r="53" spans="1:9" ht="13.5" customHeight="1">
      <c r="A53" s="136" t="s">
        <v>141</v>
      </c>
      <c r="B53" s="137"/>
      <c r="C53" s="4" t="s">
        <v>140</v>
      </c>
      <c r="D53" s="19">
        <f>34422.47*1.05</f>
        <v>36143.593500000003</v>
      </c>
      <c r="E53" s="19">
        <f>51633.7*1.05</f>
        <v>54215.385000000002</v>
      </c>
      <c r="G53" s="31"/>
      <c r="I53" s="51"/>
    </row>
    <row r="54" spans="1:9">
      <c r="A54" s="136" t="s">
        <v>142</v>
      </c>
      <c r="B54" s="137"/>
      <c r="C54" s="4" t="s">
        <v>32</v>
      </c>
      <c r="D54" s="17">
        <f>25767.42*1.05</f>
        <v>27055.791000000001</v>
      </c>
      <c r="E54" s="17">
        <f>38651.13*1.05</f>
        <v>40583.686499999996</v>
      </c>
    </row>
    <row r="55" spans="1:9">
      <c r="A55" s="136" t="s">
        <v>143</v>
      </c>
      <c r="B55" s="137"/>
      <c r="C55" s="4" t="s">
        <v>32</v>
      </c>
      <c r="D55" s="17">
        <f>50873.97*1.05</f>
        <v>53417.668500000007</v>
      </c>
      <c r="E55" s="17">
        <f>76310.96*1.05</f>
        <v>80126.508000000016</v>
      </c>
    </row>
    <row r="56" spans="1:9">
      <c r="A56" s="136" t="s">
        <v>144</v>
      </c>
      <c r="B56" s="137"/>
      <c r="C56" s="4" t="s">
        <v>32</v>
      </c>
      <c r="D56" s="17">
        <f>27749.4*1.05</f>
        <v>29136.870000000003</v>
      </c>
      <c r="E56" s="17">
        <f>41624.1*1.05</f>
        <v>43705.305</v>
      </c>
    </row>
    <row r="57" spans="1:9">
      <c r="A57" s="136" t="s">
        <v>145</v>
      </c>
      <c r="B57" s="137"/>
      <c r="C57" s="4" t="s">
        <v>32</v>
      </c>
      <c r="D57" s="17">
        <f>54838.14*1.05</f>
        <v>57580.046999999999</v>
      </c>
      <c r="E57" s="17">
        <f>82257.21*1.05</f>
        <v>86370.070500000016</v>
      </c>
    </row>
  </sheetData>
  <mergeCells count="54">
    <mergeCell ref="A50:B50"/>
    <mergeCell ref="A51:B51"/>
    <mergeCell ref="A57:B57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E34"/>
    <mergeCell ref="A26:B26"/>
    <mergeCell ref="A27:B27"/>
    <mergeCell ref="A28:B28"/>
    <mergeCell ref="D28:E28"/>
    <mergeCell ref="A29:B29"/>
    <mergeCell ref="D29:E29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3:B13"/>
    <mergeCell ref="A5:F5"/>
    <mergeCell ref="A3:C3"/>
    <mergeCell ref="A14:B14"/>
    <mergeCell ref="A15:B15"/>
    <mergeCell ref="A2:C2"/>
    <mergeCell ref="A6:C6"/>
    <mergeCell ref="A10:D10"/>
    <mergeCell ref="A11:B11"/>
    <mergeCell ref="A12:B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sqref="A1:G10"/>
    </sheetView>
  </sheetViews>
  <sheetFormatPr defaultRowHeight="12.75"/>
  <cols>
    <col min="1" max="1" width="56.1640625" customWidth="1"/>
    <col min="2" max="2" width="18.33203125" customWidth="1"/>
    <col min="3" max="3" width="5.83203125" hidden="1" customWidth="1"/>
    <col min="4" max="4" width="35.1640625" customWidth="1"/>
    <col min="5" max="5" width="8.5" customWidth="1"/>
    <col min="6" max="7" width="16.1640625" customWidth="1"/>
    <col min="8" max="8" width="9.33203125" style="30"/>
  </cols>
  <sheetData>
    <row r="1" spans="1:8" ht="21" customHeight="1">
      <c r="A1" s="1"/>
    </row>
    <row r="2" spans="1:8" ht="15.75" customHeight="1">
      <c r="A2" s="165" t="s">
        <v>412</v>
      </c>
      <c r="B2" s="165"/>
      <c r="C2" s="165"/>
      <c r="D2" s="165"/>
    </row>
    <row r="3" spans="1:8" ht="15.75" customHeight="1">
      <c r="A3" s="128" t="s">
        <v>413</v>
      </c>
      <c r="B3" s="128"/>
      <c r="C3" s="113"/>
      <c r="D3" s="113"/>
    </row>
    <row r="4" spans="1:8" ht="8.25" customHeight="1">
      <c r="A4" s="108"/>
    </row>
    <row r="5" spans="1:8" ht="15">
      <c r="A5" s="127" t="s">
        <v>411</v>
      </c>
      <c r="B5" s="127"/>
      <c r="C5" s="127"/>
      <c r="D5" s="127"/>
      <c r="E5" s="127"/>
      <c r="F5" s="127"/>
    </row>
    <row r="6" spans="1:8" ht="15">
      <c r="A6" s="130" t="s">
        <v>334</v>
      </c>
      <c r="B6" s="130"/>
      <c r="C6" s="130"/>
      <c r="D6" s="110"/>
      <c r="E6" s="110"/>
      <c r="F6" s="110"/>
    </row>
    <row r="8" spans="1:8">
      <c r="E8" s="30"/>
    </row>
    <row r="9" spans="1:8">
      <c r="E9" s="30"/>
    </row>
    <row r="10" spans="1:8" ht="19.5" customHeight="1"/>
    <row r="11" spans="1:8" ht="19.5" customHeight="1">
      <c r="A11" s="151" t="s">
        <v>94</v>
      </c>
      <c r="B11" s="152"/>
      <c r="C11" s="152"/>
      <c r="D11" s="152"/>
      <c r="E11" s="152"/>
      <c r="F11" s="153"/>
      <c r="G11" s="13" t="s">
        <v>51</v>
      </c>
    </row>
    <row r="12" spans="1:8" ht="27" customHeight="1">
      <c r="A12" s="154" t="s">
        <v>146</v>
      </c>
      <c r="B12" s="166"/>
      <c r="C12" s="166"/>
      <c r="D12" s="155"/>
      <c r="E12" s="71" t="s">
        <v>147</v>
      </c>
      <c r="F12" s="71" t="s">
        <v>3</v>
      </c>
      <c r="G12" s="71" t="s">
        <v>4</v>
      </c>
    </row>
    <row r="13" spans="1:8" ht="13.5" customHeight="1">
      <c r="A13" s="167" t="s">
        <v>148</v>
      </c>
      <c r="B13" s="168"/>
      <c r="C13" s="168"/>
      <c r="D13" s="20"/>
      <c r="E13" s="6" t="s">
        <v>99</v>
      </c>
      <c r="F13" s="6" t="s">
        <v>100</v>
      </c>
      <c r="G13" s="19">
        <f>1823.85*1.05</f>
        <v>1915.0425</v>
      </c>
      <c r="H13" s="31"/>
    </row>
    <row r="14" spans="1:8" ht="13.5" customHeight="1">
      <c r="A14" s="169"/>
      <c r="B14" s="170"/>
      <c r="C14" s="170"/>
      <c r="D14" s="20"/>
      <c r="E14" s="6" t="s">
        <v>99</v>
      </c>
      <c r="F14" s="6" t="s">
        <v>100</v>
      </c>
      <c r="G14" s="19">
        <f>2327.85*1.05</f>
        <v>2444.2424999999998</v>
      </c>
      <c r="H14" s="31"/>
    </row>
    <row r="15" spans="1:8" ht="13.5" customHeight="1">
      <c r="A15" s="169"/>
      <c r="B15" s="170"/>
      <c r="C15" s="170"/>
      <c r="D15" s="20"/>
      <c r="E15" s="6" t="s">
        <v>99</v>
      </c>
      <c r="F15" s="6" t="s">
        <v>100</v>
      </c>
      <c r="G15" s="19">
        <f>2062.2*1.05</f>
        <v>2165.31</v>
      </c>
      <c r="H15" s="31"/>
    </row>
    <row r="16" spans="1:8" ht="13.5" customHeight="1">
      <c r="A16" s="169"/>
      <c r="B16" s="170"/>
      <c r="C16" s="170"/>
      <c r="D16" s="20"/>
      <c r="E16" s="6" t="s">
        <v>99</v>
      </c>
      <c r="F16" s="6" t="s">
        <v>100</v>
      </c>
      <c r="G16" s="19">
        <f>2684.75*1.05</f>
        <v>2818.9875000000002</v>
      </c>
      <c r="H16" s="31"/>
    </row>
    <row r="17" spans="1:8" ht="13.5" customHeight="1">
      <c r="A17" s="169"/>
      <c r="B17" s="170"/>
      <c r="C17" s="170"/>
      <c r="D17" s="20"/>
      <c r="E17" s="6" t="s">
        <v>5</v>
      </c>
      <c r="F17" s="6" t="s">
        <v>13</v>
      </c>
      <c r="G17" s="17">
        <f>2303.39*1.05</f>
        <v>2418.5594999999998</v>
      </c>
      <c r="H17" s="31"/>
    </row>
    <row r="18" spans="1:8" ht="13.5" customHeight="1">
      <c r="A18" s="169"/>
      <c r="B18" s="170"/>
      <c r="C18" s="170"/>
      <c r="D18" s="20"/>
      <c r="E18" s="6" t="s">
        <v>5</v>
      </c>
      <c r="F18" s="6" t="s">
        <v>13</v>
      </c>
      <c r="G18" s="17">
        <f>3031.67*1.05</f>
        <v>3183.2535000000003</v>
      </c>
      <c r="H18" s="31"/>
    </row>
    <row r="19" spans="1:8" ht="13.5" customHeight="1">
      <c r="A19" s="169"/>
      <c r="B19" s="170"/>
      <c r="C19" s="170"/>
      <c r="D19" s="20"/>
      <c r="E19" s="6" t="s">
        <v>5</v>
      </c>
      <c r="F19" s="6" t="s">
        <v>13</v>
      </c>
      <c r="G19" s="17">
        <f>2619.33*1.05</f>
        <v>2750.2964999999999</v>
      </c>
      <c r="H19" s="31"/>
    </row>
    <row r="20" spans="1:8" ht="13.5" customHeight="1">
      <c r="A20" s="169"/>
      <c r="B20" s="170"/>
      <c r="C20" s="170"/>
      <c r="D20" s="20"/>
      <c r="E20" s="6" t="s">
        <v>5</v>
      </c>
      <c r="F20" s="6" t="s">
        <v>13</v>
      </c>
      <c r="G20" s="17">
        <f>3505.01*1.05</f>
        <v>3680.2605000000003</v>
      </c>
      <c r="H20" s="31"/>
    </row>
    <row r="21" spans="1:8" ht="13.5" customHeight="1">
      <c r="A21" s="169"/>
      <c r="B21" s="170"/>
      <c r="C21" s="170"/>
      <c r="D21" s="20"/>
      <c r="E21" s="6" t="s">
        <v>5</v>
      </c>
      <c r="F21" s="6" t="s">
        <v>13</v>
      </c>
      <c r="G21" s="17">
        <f>3182.03*1.05</f>
        <v>3341.1315000000004</v>
      </c>
      <c r="H21" s="31"/>
    </row>
    <row r="22" spans="1:8" ht="13.5" customHeight="1">
      <c r="A22" s="171"/>
      <c r="B22" s="172"/>
      <c r="C22" s="172"/>
      <c r="D22" s="20"/>
      <c r="E22" s="6" t="s">
        <v>5</v>
      </c>
      <c r="F22" s="6" t="s">
        <v>13</v>
      </c>
      <c r="G22" s="17">
        <f>4349.52*1.05</f>
        <v>4566.996000000001</v>
      </c>
      <c r="H22" s="31"/>
    </row>
    <row r="23" spans="1:8" ht="13.5" customHeight="1">
      <c r="A23" s="173" t="s">
        <v>149</v>
      </c>
      <c r="B23" s="168"/>
      <c r="C23" s="174"/>
      <c r="D23" s="175"/>
      <c r="E23" s="6" t="s">
        <v>99</v>
      </c>
      <c r="F23" s="6" t="s">
        <v>100</v>
      </c>
      <c r="G23" s="19">
        <f>2499*1.05</f>
        <v>2623.9500000000003</v>
      </c>
      <c r="H23" s="31"/>
    </row>
    <row r="24" spans="1:8" ht="13.5" customHeight="1">
      <c r="A24" s="169"/>
      <c r="B24" s="170"/>
      <c r="C24" s="174"/>
      <c r="D24" s="175"/>
      <c r="E24" s="6" t="s">
        <v>99</v>
      </c>
      <c r="F24" s="6" t="s">
        <v>100</v>
      </c>
      <c r="G24" s="19">
        <f>2985.15*1.05</f>
        <v>3134.4075000000003</v>
      </c>
      <c r="H24" s="31"/>
    </row>
    <row r="25" spans="1:8" ht="13.5" customHeight="1">
      <c r="A25" s="169"/>
      <c r="B25" s="170"/>
      <c r="C25" s="174"/>
      <c r="D25" s="175"/>
      <c r="E25" s="6" t="s">
        <v>99</v>
      </c>
      <c r="F25" s="6" t="s">
        <v>100</v>
      </c>
      <c r="G25" s="19">
        <f>2720.55*1.05</f>
        <v>2856.5775000000003</v>
      </c>
      <c r="H25" s="31"/>
    </row>
    <row r="26" spans="1:8" ht="13.5" customHeight="1">
      <c r="A26" s="169"/>
      <c r="B26" s="170"/>
      <c r="C26" s="174"/>
      <c r="D26" s="175"/>
      <c r="E26" s="6" t="s">
        <v>99</v>
      </c>
      <c r="F26" s="6" t="s">
        <v>100</v>
      </c>
      <c r="G26" s="19">
        <f>3343.2*1.05</f>
        <v>3510.36</v>
      </c>
      <c r="H26" s="31"/>
    </row>
    <row r="27" spans="1:8" ht="13.5" customHeight="1">
      <c r="A27" s="169"/>
      <c r="B27" s="170"/>
      <c r="C27" s="174"/>
      <c r="D27" s="175"/>
      <c r="E27" s="6" t="s">
        <v>99</v>
      </c>
      <c r="F27" s="6" t="s">
        <v>100</v>
      </c>
      <c r="G27" s="19">
        <f>2958.9*1.05</f>
        <v>3106.8450000000003</v>
      </c>
      <c r="H27" s="31"/>
    </row>
    <row r="28" spans="1:8" ht="13.5" customHeight="1">
      <c r="A28" s="169"/>
      <c r="B28" s="170"/>
      <c r="C28" s="174"/>
      <c r="D28" s="175"/>
      <c r="E28" s="6" t="s">
        <v>99</v>
      </c>
      <c r="F28" s="6" t="s">
        <v>100</v>
      </c>
      <c r="G28" s="19">
        <f>3620.4*1.05</f>
        <v>3801.42</v>
      </c>
      <c r="H28" s="31"/>
    </row>
    <row r="29" spans="1:8" ht="13.5" customHeight="1">
      <c r="A29" s="169"/>
      <c r="B29" s="170"/>
      <c r="C29" s="174"/>
      <c r="D29" s="175"/>
      <c r="E29" s="6" t="s">
        <v>5</v>
      </c>
      <c r="F29" s="6" t="s">
        <v>13</v>
      </c>
      <c r="G29" s="17">
        <f>3185.7*1.05</f>
        <v>3344.9850000000001</v>
      </c>
      <c r="H29" s="31"/>
    </row>
    <row r="30" spans="1:8" ht="13.5" customHeight="1">
      <c r="A30" s="169"/>
      <c r="B30" s="170"/>
      <c r="C30" s="174"/>
      <c r="D30" s="175"/>
      <c r="E30" s="6" t="s">
        <v>5</v>
      </c>
      <c r="F30" s="6" t="s">
        <v>13</v>
      </c>
      <c r="G30" s="17">
        <f>4088.7*1.05</f>
        <v>4293.1350000000002</v>
      </c>
      <c r="H30" s="31"/>
    </row>
    <row r="31" spans="1:8" ht="13.5" customHeight="1">
      <c r="A31" s="169"/>
      <c r="B31" s="170"/>
      <c r="C31" s="174"/>
      <c r="D31" s="175"/>
      <c r="E31" s="6" t="s">
        <v>5</v>
      </c>
      <c r="F31" s="6" t="s">
        <v>13</v>
      </c>
      <c r="G31" s="17">
        <f>3734.85*1.05</f>
        <v>3921.5925000000002</v>
      </c>
      <c r="H31" s="31"/>
    </row>
    <row r="32" spans="1:8" ht="13.5" customHeight="1">
      <c r="A32" s="171"/>
      <c r="B32" s="172"/>
      <c r="C32" s="174"/>
      <c r="D32" s="175"/>
      <c r="E32" s="6" t="s">
        <v>5</v>
      </c>
      <c r="F32" s="6" t="s">
        <v>13</v>
      </c>
      <c r="G32" s="17">
        <f>4701.9*1.05</f>
        <v>4936.9949999999999</v>
      </c>
      <c r="H32" s="31"/>
    </row>
    <row r="33" spans="1:8" ht="13.5" customHeight="1">
      <c r="A33" s="173" t="s">
        <v>150</v>
      </c>
      <c r="B33" s="168"/>
      <c r="C33" s="174"/>
      <c r="D33" s="175"/>
      <c r="E33" s="6" t="s">
        <v>99</v>
      </c>
      <c r="F33" s="6" t="s">
        <v>100</v>
      </c>
      <c r="G33" s="19">
        <f>2507.4*1.05</f>
        <v>2632.77</v>
      </c>
      <c r="H33" s="31"/>
    </row>
    <row r="34" spans="1:8" ht="13.5" customHeight="1">
      <c r="A34" s="169"/>
      <c r="B34" s="170"/>
      <c r="C34" s="174"/>
      <c r="D34" s="175"/>
      <c r="E34" s="6" t="s">
        <v>99</v>
      </c>
      <c r="F34" s="6" t="s">
        <v>100</v>
      </c>
      <c r="G34" s="19">
        <f>2990.4*1.05</f>
        <v>3139.92</v>
      </c>
      <c r="H34" s="31"/>
    </row>
    <row r="35" spans="1:8" ht="13.5" customHeight="1">
      <c r="A35" s="169"/>
      <c r="B35" s="170"/>
      <c r="C35" s="174"/>
      <c r="D35" s="175"/>
      <c r="E35" s="6" t="s">
        <v>99</v>
      </c>
      <c r="F35" s="6" t="s">
        <v>100</v>
      </c>
      <c r="G35" s="19">
        <f>2731.26*1.05</f>
        <v>2867.8230000000003</v>
      </c>
      <c r="H35" s="31"/>
    </row>
    <row r="36" spans="1:8" ht="13.5" customHeight="1">
      <c r="A36" s="169"/>
      <c r="B36" s="170"/>
      <c r="C36" s="174"/>
      <c r="D36" s="175"/>
      <c r="E36" s="6" t="s">
        <v>99</v>
      </c>
      <c r="F36" s="6" t="s">
        <v>100</v>
      </c>
      <c r="G36" s="19">
        <f>3374.28*1.05</f>
        <v>3542.9940000000001</v>
      </c>
      <c r="H36" s="31"/>
    </row>
    <row r="37" spans="1:8" ht="13.5" customHeight="1">
      <c r="A37" s="169"/>
      <c r="B37" s="170"/>
      <c r="C37" s="174"/>
      <c r="D37" s="175"/>
      <c r="E37" s="6" t="s">
        <v>99</v>
      </c>
      <c r="F37" s="6" t="s">
        <v>100</v>
      </c>
      <c r="G37" s="19">
        <f>2984.1*1.05</f>
        <v>3133.3049999999998</v>
      </c>
      <c r="H37" s="31"/>
    </row>
    <row r="38" spans="1:8" ht="13.5" customHeight="1">
      <c r="A38" s="169"/>
      <c r="B38" s="170"/>
      <c r="C38" s="174"/>
      <c r="D38" s="175"/>
      <c r="E38" s="6" t="s">
        <v>99</v>
      </c>
      <c r="F38" s="6" t="s">
        <v>100</v>
      </c>
      <c r="G38" s="19">
        <f>3787.04*1.05</f>
        <v>3976.3920000000003</v>
      </c>
      <c r="H38" s="31"/>
    </row>
    <row r="39" spans="1:8" ht="13.5" customHeight="1">
      <c r="A39" s="169"/>
      <c r="B39" s="170"/>
      <c r="C39" s="174"/>
      <c r="D39" s="175"/>
      <c r="E39" s="6" t="s">
        <v>99</v>
      </c>
      <c r="F39" s="6" t="s">
        <v>100</v>
      </c>
      <c r="G39" s="19">
        <f>3181.5*1.05</f>
        <v>3340.5750000000003</v>
      </c>
      <c r="H39" s="31"/>
    </row>
    <row r="40" spans="1:8" ht="13.5" customHeight="1">
      <c r="A40" s="169"/>
      <c r="B40" s="170"/>
      <c r="C40" s="174"/>
      <c r="D40" s="175"/>
      <c r="E40" s="6" t="s">
        <v>99</v>
      </c>
      <c r="F40" s="6" t="s">
        <v>100</v>
      </c>
      <c r="G40" s="19">
        <f>4111.8*1.05</f>
        <v>4317.3900000000003</v>
      </c>
      <c r="H40" s="31"/>
    </row>
    <row r="41" spans="1:8" ht="13.5" customHeight="1">
      <c r="A41" s="169"/>
      <c r="B41" s="170"/>
      <c r="C41" s="174"/>
      <c r="D41" s="175"/>
      <c r="E41" s="6" t="s">
        <v>5</v>
      </c>
      <c r="F41" s="6" t="s">
        <v>13</v>
      </c>
      <c r="G41" s="17">
        <f>3593.1*1.05</f>
        <v>3772.7550000000001</v>
      </c>
      <c r="H41" s="31"/>
    </row>
    <row r="42" spans="1:8" ht="13.5" customHeight="1">
      <c r="A42" s="171"/>
      <c r="B42" s="172"/>
      <c r="C42" s="174"/>
      <c r="D42" s="175"/>
      <c r="E42" s="6" t="s">
        <v>5</v>
      </c>
      <c r="F42" s="6" t="s">
        <v>13</v>
      </c>
      <c r="G42" s="17">
        <f>4760.6*1.05</f>
        <v>4998.630000000001</v>
      </c>
      <c r="H42" s="31"/>
    </row>
    <row r="43" spans="1:8" ht="13.5" customHeight="1">
      <c r="A43" s="177" t="s">
        <v>151</v>
      </c>
      <c r="B43" s="178"/>
      <c r="C43" s="178"/>
      <c r="D43" s="179"/>
      <c r="E43" s="18" t="s">
        <v>147</v>
      </c>
      <c r="F43" s="18" t="s">
        <v>3</v>
      </c>
      <c r="G43" s="15" t="s">
        <v>4</v>
      </c>
    </row>
    <row r="44" spans="1:8" ht="13.5" customHeight="1">
      <c r="A44" s="136" t="s">
        <v>152</v>
      </c>
      <c r="B44" s="176"/>
      <c r="C44" s="176"/>
      <c r="D44" s="137"/>
      <c r="E44" s="6" t="s">
        <v>5</v>
      </c>
      <c r="F44" s="6" t="s">
        <v>13</v>
      </c>
      <c r="G44" s="17">
        <f>1800.51*1.05</f>
        <v>1890.5355000000002</v>
      </c>
      <c r="H44" s="31"/>
    </row>
    <row r="45" spans="1:8" ht="13.5" customHeight="1">
      <c r="A45" s="136" t="s">
        <v>153</v>
      </c>
      <c r="B45" s="176"/>
      <c r="C45" s="176"/>
      <c r="D45" s="137"/>
      <c r="E45" s="6" t="s">
        <v>5</v>
      </c>
      <c r="F45" s="6" t="s">
        <v>13</v>
      </c>
      <c r="G45" s="17">
        <f>1821.2*1.05</f>
        <v>1912.2600000000002</v>
      </c>
      <c r="H45" s="31"/>
    </row>
    <row r="46" spans="1:8" ht="13.5" customHeight="1">
      <c r="A46" s="136" t="s">
        <v>154</v>
      </c>
      <c r="B46" s="176"/>
      <c r="C46" s="176"/>
      <c r="D46" s="137"/>
      <c r="E46" s="6" t="s">
        <v>5</v>
      </c>
      <c r="F46" s="6" t="s">
        <v>13</v>
      </c>
      <c r="G46" s="17">
        <f>2028.16*1.05</f>
        <v>2129.5680000000002</v>
      </c>
      <c r="H46" s="31"/>
    </row>
    <row r="47" spans="1:8" ht="13.5" customHeight="1">
      <c r="A47" s="136" t="s">
        <v>155</v>
      </c>
      <c r="B47" s="176"/>
      <c r="C47" s="176"/>
      <c r="D47" s="137"/>
      <c r="E47" s="6" t="s">
        <v>5</v>
      </c>
      <c r="F47" s="6" t="s">
        <v>13</v>
      </c>
      <c r="G47" s="17">
        <f>2359.29*1.05</f>
        <v>2477.2545</v>
      </c>
      <c r="H47" s="31"/>
    </row>
    <row r="48" spans="1:8" ht="13.5" customHeight="1">
      <c r="A48" s="136" t="s">
        <v>156</v>
      </c>
      <c r="B48" s="176"/>
      <c r="C48" s="176"/>
      <c r="D48" s="137"/>
      <c r="E48" s="6" t="s">
        <v>5</v>
      </c>
      <c r="F48" s="6" t="s">
        <v>13</v>
      </c>
      <c r="G48" s="17">
        <f>2835.28*1.05</f>
        <v>2977.0440000000003</v>
      </c>
      <c r="H48" s="31"/>
    </row>
    <row r="49" spans="1:8" ht="13.5" customHeight="1">
      <c r="A49" s="136" t="s">
        <v>157</v>
      </c>
      <c r="B49" s="176"/>
      <c r="C49" s="176"/>
      <c r="D49" s="137"/>
      <c r="E49" s="6" t="s">
        <v>5</v>
      </c>
      <c r="F49" s="6" t="s">
        <v>13</v>
      </c>
      <c r="G49" s="17">
        <f>3125.02*1.05</f>
        <v>3281.2710000000002</v>
      </c>
      <c r="H49" s="31"/>
    </row>
    <row r="50" spans="1:8" ht="13.5" customHeight="1">
      <c r="A50" s="136" t="s">
        <v>158</v>
      </c>
      <c r="B50" s="176"/>
      <c r="C50" s="176"/>
      <c r="D50" s="137"/>
      <c r="E50" s="6" t="s">
        <v>5</v>
      </c>
      <c r="F50" s="6" t="s">
        <v>13</v>
      </c>
      <c r="G50" s="17">
        <f>3311.28*1.05</f>
        <v>3476.8440000000005</v>
      </c>
      <c r="H50" s="31"/>
    </row>
    <row r="51" spans="1:8" ht="13.5" customHeight="1">
      <c r="A51" s="136" t="s">
        <v>159</v>
      </c>
      <c r="B51" s="176"/>
      <c r="C51" s="176"/>
      <c r="D51" s="137"/>
      <c r="E51" s="6" t="s">
        <v>5</v>
      </c>
      <c r="F51" s="6" t="s">
        <v>13</v>
      </c>
      <c r="G51" s="17">
        <f>3683.8*1.05</f>
        <v>3867.9900000000002</v>
      </c>
      <c r="H51" s="31"/>
    </row>
    <row r="52" spans="1:8" ht="13.5" customHeight="1">
      <c r="A52" s="136" t="s">
        <v>160</v>
      </c>
      <c r="B52" s="176"/>
      <c r="C52" s="176"/>
      <c r="D52" s="137"/>
      <c r="E52" s="6" t="s">
        <v>5</v>
      </c>
      <c r="F52" s="6" t="s">
        <v>13</v>
      </c>
      <c r="G52" s="17">
        <f>5815.44*1.05</f>
        <v>6106.2119999999995</v>
      </c>
      <c r="H52" s="31"/>
    </row>
    <row r="53" spans="1:8" ht="13.5" customHeight="1">
      <c r="A53" s="136" t="s">
        <v>161</v>
      </c>
      <c r="B53" s="176"/>
      <c r="C53" s="176"/>
      <c r="D53" s="137"/>
      <c r="E53" s="6" t="s">
        <v>5</v>
      </c>
      <c r="F53" s="6" t="s">
        <v>13</v>
      </c>
      <c r="G53" s="17">
        <f>5815.44*1.05</f>
        <v>6106.2119999999995</v>
      </c>
      <c r="H53" s="31"/>
    </row>
    <row r="54" spans="1:8" ht="13.5" customHeight="1">
      <c r="A54" s="136" t="s">
        <v>162</v>
      </c>
      <c r="B54" s="176"/>
      <c r="C54" s="176"/>
      <c r="D54" s="137"/>
      <c r="E54" s="6" t="s">
        <v>5</v>
      </c>
      <c r="F54" s="6" t="s">
        <v>13</v>
      </c>
      <c r="G54" s="17">
        <f>5815.44*1.05</f>
        <v>6106.2119999999995</v>
      </c>
      <c r="H54" s="31"/>
    </row>
    <row r="55" spans="1:8" ht="13.5" customHeight="1">
      <c r="A55" s="136" t="s">
        <v>163</v>
      </c>
      <c r="B55" s="176"/>
      <c r="C55" s="176"/>
      <c r="D55" s="137"/>
      <c r="E55" s="6" t="s">
        <v>5</v>
      </c>
      <c r="F55" s="6" t="s">
        <v>13</v>
      </c>
      <c r="G55" s="17">
        <f>7243.43*1.05</f>
        <v>7605.6015000000007</v>
      </c>
      <c r="H55" s="31"/>
    </row>
    <row r="56" spans="1:8" ht="13.5" customHeight="1">
      <c r="A56" s="136" t="s">
        <v>164</v>
      </c>
      <c r="B56" s="176"/>
      <c r="C56" s="176"/>
      <c r="D56" s="137"/>
      <c r="E56" s="6" t="s">
        <v>5</v>
      </c>
      <c r="F56" s="6" t="s">
        <v>13</v>
      </c>
      <c r="G56" s="17">
        <f>7243.43*1.05</f>
        <v>7605.6015000000007</v>
      </c>
      <c r="H56" s="31"/>
    </row>
    <row r="57" spans="1:8" ht="13.5" customHeight="1">
      <c r="A57" s="136" t="s">
        <v>165</v>
      </c>
      <c r="B57" s="176"/>
      <c r="C57" s="176"/>
      <c r="D57" s="137"/>
      <c r="E57" s="6" t="s">
        <v>5</v>
      </c>
      <c r="F57" s="6" t="s">
        <v>13</v>
      </c>
      <c r="G57" s="17">
        <f>7904.63*1.05</f>
        <v>8299.8615000000009</v>
      </c>
      <c r="H57" s="31"/>
    </row>
    <row r="58" spans="1:8" ht="13.5" customHeight="1">
      <c r="A58" s="136" t="s">
        <v>166</v>
      </c>
      <c r="B58" s="176"/>
      <c r="C58" s="176"/>
      <c r="D58" s="137"/>
      <c r="E58" s="6" t="s">
        <v>5</v>
      </c>
      <c r="F58" s="6" t="s">
        <v>13</v>
      </c>
      <c r="G58" s="17">
        <f>7904.63*1.05</f>
        <v>8299.8615000000009</v>
      </c>
      <c r="H58" s="31"/>
    </row>
    <row r="59" spans="1:8" ht="13.5" customHeight="1">
      <c r="A59" s="173" t="s">
        <v>167</v>
      </c>
      <c r="B59" s="174"/>
      <c r="C59" s="174"/>
      <c r="D59" s="175"/>
      <c r="E59" s="6" t="s">
        <v>5</v>
      </c>
      <c r="F59" s="6" t="s">
        <v>13</v>
      </c>
      <c r="G59" s="17">
        <f>2690.4*1.05</f>
        <v>2824.92</v>
      </c>
      <c r="H59" s="31"/>
    </row>
    <row r="60" spans="1:8" ht="13.5" customHeight="1">
      <c r="A60" s="169"/>
      <c r="B60" s="174"/>
      <c r="C60" s="174"/>
      <c r="D60" s="175"/>
      <c r="E60" s="6" t="s">
        <v>5</v>
      </c>
      <c r="F60" s="6" t="s">
        <v>13</v>
      </c>
      <c r="G60" s="17">
        <f>2690.42*1.05</f>
        <v>2824.9410000000003</v>
      </c>
      <c r="H60" s="31"/>
    </row>
    <row r="61" spans="1:8" ht="13.5" customHeight="1">
      <c r="A61" s="171"/>
      <c r="B61" s="174"/>
      <c r="C61" s="174"/>
      <c r="D61" s="175"/>
      <c r="E61" s="6" t="s">
        <v>5</v>
      </c>
      <c r="F61" s="6" t="s">
        <v>13</v>
      </c>
      <c r="G61" s="17">
        <f>2690.42*1.05</f>
        <v>2824.9410000000003</v>
      </c>
      <c r="H61" s="31"/>
    </row>
    <row r="62" spans="1:8" ht="13.5" customHeight="1">
      <c r="A62" s="136" t="s">
        <v>168</v>
      </c>
      <c r="B62" s="176"/>
      <c r="C62" s="176"/>
      <c r="D62" s="137"/>
      <c r="E62" s="6" t="s">
        <v>5</v>
      </c>
      <c r="F62" s="6" t="s">
        <v>13</v>
      </c>
      <c r="G62" s="17">
        <f>2771.4*1.05</f>
        <v>2909.9700000000003</v>
      </c>
      <c r="H62" s="31"/>
    </row>
    <row r="63" spans="1:8" ht="13.5" customHeight="1">
      <c r="A63" s="136" t="s">
        <v>169</v>
      </c>
      <c r="B63" s="176"/>
      <c r="C63" s="176"/>
      <c r="D63" s="137"/>
      <c r="E63" s="6" t="s">
        <v>5</v>
      </c>
      <c r="F63" s="6" t="s">
        <v>13</v>
      </c>
      <c r="G63" s="16">
        <f>765.73*1.05</f>
        <v>804.01650000000006</v>
      </c>
      <c r="H63" s="31"/>
    </row>
  </sheetData>
  <mergeCells count="51">
    <mergeCell ref="A53:D53"/>
    <mergeCell ref="A54:D54"/>
    <mergeCell ref="A55:D55"/>
    <mergeCell ref="A56:D56"/>
    <mergeCell ref="A57:D57"/>
    <mergeCell ref="A62:D62"/>
    <mergeCell ref="A63:D63"/>
    <mergeCell ref="A58:D58"/>
    <mergeCell ref="A59:A61"/>
    <mergeCell ref="B59:D59"/>
    <mergeCell ref="B60:D60"/>
    <mergeCell ref="B61:D61"/>
    <mergeCell ref="A51:D51"/>
    <mergeCell ref="A52:D52"/>
    <mergeCell ref="A43:D43"/>
    <mergeCell ref="A44:D44"/>
    <mergeCell ref="A45:D45"/>
    <mergeCell ref="A46:D46"/>
    <mergeCell ref="A47:D47"/>
    <mergeCell ref="A48:D48"/>
    <mergeCell ref="A49:D49"/>
    <mergeCell ref="A50:D50"/>
    <mergeCell ref="A33:B4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A12:D12"/>
    <mergeCell ref="A13:C22"/>
    <mergeCell ref="A23:B3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5:F5"/>
    <mergeCell ref="A6:C6"/>
    <mergeCell ref="A2:D2"/>
    <mergeCell ref="A3:B3"/>
    <mergeCell ref="A11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1" workbookViewId="0">
      <selection activeCell="D8" sqref="D8"/>
    </sheetView>
  </sheetViews>
  <sheetFormatPr defaultRowHeight="12.75"/>
  <cols>
    <col min="1" max="1" width="79.83203125" customWidth="1"/>
    <col min="2" max="2" width="11" customWidth="1"/>
    <col min="3" max="3" width="22" customWidth="1"/>
    <col min="4" max="4" width="17.1640625" style="36" customWidth="1"/>
    <col min="5" max="5" width="2.6640625" customWidth="1"/>
    <col min="6" max="6" width="9.6640625" style="30" bestFit="1" customWidth="1"/>
  </cols>
  <sheetData>
    <row r="1" spans="1:6" ht="21.75" customHeight="1">
      <c r="A1" s="1"/>
      <c r="D1"/>
      <c r="F1"/>
    </row>
    <row r="2" spans="1:6" ht="12.75" customHeight="1">
      <c r="A2" s="165" t="s">
        <v>412</v>
      </c>
      <c r="B2" s="165"/>
      <c r="C2" s="165"/>
      <c r="D2" s="165"/>
      <c r="F2"/>
    </row>
    <row r="3" spans="1:6" ht="15.75">
      <c r="A3" s="128" t="s">
        <v>413</v>
      </c>
      <c r="B3" s="128"/>
      <c r="C3" s="113"/>
      <c r="D3" s="113"/>
      <c r="F3"/>
    </row>
    <row r="4" spans="1:6">
      <c r="A4" s="108"/>
      <c r="D4"/>
      <c r="F4"/>
    </row>
    <row r="5" spans="1:6" ht="15" customHeight="1">
      <c r="A5" s="127" t="s">
        <v>411</v>
      </c>
      <c r="B5" s="127"/>
      <c r="C5" s="127"/>
      <c r="D5" s="127"/>
      <c r="E5" s="127"/>
      <c r="F5" s="127"/>
    </row>
    <row r="6" spans="1:6" ht="15">
      <c r="A6" s="130" t="s">
        <v>334</v>
      </c>
      <c r="B6" s="130"/>
      <c r="C6" s="130"/>
      <c r="D6" s="110"/>
      <c r="E6" s="110"/>
      <c r="F6" s="110"/>
    </row>
    <row r="7" spans="1:6">
      <c r="D7"/>
      <c r="F7"/>
    </row>
    <row r="8" spans="1:6">
      <c r="D8"/>
      <c r="E8" s="30"/>
      <c r="F8"/>
    </row>
    <row r="9" spans="1:6">
      <c r="D9"/>
      <c r="E9" s="30"/>
      <c r="F9"/>
    </row>
    <row r="10" spans="1:6">
      <c r="D10"/>
      <c r="F10"/>
    </row>
    <row r="11" spans="1:6" ht="19.5" customHeight="1">
      <c r="A11" s="180" t="s">
        <v>170</v>
      </c>
      <c r="B11" s="181"/>
      <c r="C11" s="182"/>
      <c r="D11" s="33" t="s">
        <v>171</v>
      </c>
    </row>
    <row r="12" spans="1:6" ht="13.5" customHeight="1">
      <c r="A12" s="73" t="s">
        <v>364</v>
      </c>
      <c r="B12" s="22" t="s">
        <v>2</v>
      </c>
      <c r="C12" s="32" t="s">
        <v>3</v>
      </c>
      <c r="D12" s="32" t="s">
        <v>4</v>
      </c>
    </row>
    <row r="13" spans="1:6" ht="13.5" customHeight="1">
      <c r="A13" s="3" t="s">
        <v>172</v>
      </c>
      <c r="B13" s="6" t="s">
        <v>5</v>
      </c>
      <c r="C13" s="37">
        <f>1746.03*1.05</f>
        <v>1833.3315</v>
      </c>
      <c r="D13" s="38">
        <f>628.57*1.05</f>
        <v>659.99850000000004</v>
      </c>
      <c r="F13" s="31"/>
    </row>
    <row r="14" spans="1:6" ht="13.5" customHeight="1">
      <c r="A14" s="3" t="s">
        <v>173</v>
      </c>
      <c r="B14" s="6" t="s">
        <v>5</v>
      </c>
      <c r="C14" s="37">
        <f>1746.03*1.05</f>
        <v>1833.3315</v>
      </c>
      <c r="D14" s="37">
        <f>1257.14*1.05</f>
        <v>1319.9970000000001</v>
      </c>
      <c r="F14" s="31"/>
    </row>
    <row r="15" spans="1:6" ht="13.5" customHeight="1">
      <c r="A15" s="3" t="s">
        <v>174</v>
      </c>
      <c r="B15" s="6" t="s">
        <v>5</v>
      </c>
      <c r="C15" s="37">
        <f>1812.56*1.05</f>
        <v>1903.1880000000001</v>
      </c>
      <c r="D15" s="38">
        <f>652.52*1.05</f>
        <v>685.14599999999996</v>
      </c>
      <c r="F15" s="31"/>
    </row>
    <row r="16" spans="1:6" ht="13.5" customHeight="1">
      <c r="A16" s="3" t="s">
        <v>175</v>
      </c>
      <c r="B16" s="6" t="s">
        <v>5</v>
      </c>
      <c r="C16" s="37">
        <f>1812.56*1.05</f>
        <v>1903.1880000000001</v>
      </c>
      <c r="D16" s="37">
        <f>1305.05*1.05</f>
        <v>1370.3025</v>
      </c>
      <c r="F16" s="31"/>
    </row>
    <row r="17" spans="1:6" ht="13.5" customHeight="1">
      <c r="A17" s="3" t="s">
        <v>176</v>
      </c>
      <c r="B17" s="6" t="s">
        <v>5</v>
      </c>
      <c r="C17" s="37">
        <f>1902.35*1.05</f>
        <v>1997.4675</v>
      </c>
      <c r="D17" s="38">
        <f>684.85*1.05</f>
        <v>719.09250000000009</v>
      </c>
      <c r="F17" s="31"/>
    </row>
    <row r="18" spans="1:6" ht="13.5" customHeight="1">
      <c r="A18" s="3" t="s">
        <v>177</v>
      </c>
      <c r="B18" s="6" t="s">
        <v>5</v>
      </c>
      <c r="C18" s="37">
        <f>1902.35*1.05</f>
        <v>1997.4675</v>
      </c>
      <c r="D18" s="37">
        <f>1369.69*1.05</f>
        <v>1438.1745000000001</v>
      </c>
      <c r="F18" s="31"/>
    </row>
    <row r="19" spans="1:6" ht="13.5" customHeight="1">
      <c r="A19" s="3" t="s">
        <v>178</v>
      </c>
      <c r="B19" s="6" t="s">
        <v>5</v>
      </c>
      <c r="C19" s="11" t="s">
        <v>12</v>
      </c>
      <c r="D19" s="11" t="s">
        <v>12</v>
      </c>
      <c r="F19" s="40"/>
    </row>
    <row r="20" spans="1:6" ht="13.5" customHeight="1">
      <c r="A20" s="3" t="s">
        <v>179</v>
      </c>
      <c r="B20" s="6" t="s">
        <v>5</v>
      </c>
      <c r="C20" s="11" t="s">
        <v>13</v>
      </c>
      <c r="D20" s="11" t="s">
        <v>12</v>
      </c>
      <c r="F20" s="40"/>
    </row>
    <row r="21" spans="1:6" ht="13.5" customHeight="1">
      <c r="A21" s="73" t="s">
        <v>365</v>
      </c>
      <c r="B21" s="22" t="s">
        <v>2</v>
      </c>
      <c r="C21" s="32" t="s">
        <v>3</v>
      </c>
      <c r="D21" s="32" t="s">
        <v>4</v>
      </c>
    </row>
    <row r="22" spans="1:6" ht="13.5" customHeight="1">
      <c r="A22" s="3" t="s">
        <v>180</v>
      </c>
      <c r="B22" s="6" t="s">
        <v>5</v>
      </c>
      <c r="C22" s="37">
        <f>2190.89*1.05</f>
        <v>2300.4344999999998</v>
      </c>
      <c r="D22" s="37">
        <f>1577.44*1.05</f>
        <v>1656.3120000000001</v>
      </c>
      <c r="F22" s="31"/>
    </row>
    <row r="23" spans="1:6" ht="13.5" customHeight="1">
      <c r="A23" s="3" t="s">
        <v>181</v>
      </c>
      <c r="B23" s="6" t="s">
        <v>5</v>
      </c>
      <c r="C23" s="37">
        <f>3526.95*1.05</f>
        <v>3703.2975000000001</v>
      </c>
      <c r="D23" s="37">
        <f>2539.4*1.05</f>
        <v>2666.3700000000003</v>
      </c>
      <c r="F23" s="31"/>
    </row>
    <row r="24" spans="1:6" ht="13.5" customHeight="1">
      <c r="A24" s="3" t="s">
        <v>182</v>
      </c>
      <c r="B24" s="6" t="s">
        <v>5</v>
      </c>
      <c r="C24" s="37">
        <f>3526.95*1.05</f>
        <v>3703.2975000000001</v>
      </c>
      <c r="D24" s="37">
        <f>2539.4*1.05</f>
        <v>2666.3700000000003</v>
      </c>
      <c r="F24" s="31"/>
    </row>
    <row r="25" spans="1:6" ht="13.5" customHeight="1">
      <c r="A25" s="3" t="s">
        <v>183</v>
      </c>
      <c r="B25" s="6" t="s">
        <v>5</v>
      </c>
      <c r="C25" s="37">
        <f>2396.29*1.05</f>
        <v>2516.1044999999999</v>
      </c>
      <c r="D25" s="37">
        <f>1725.33*1.05</f>
        <v>1811.5965000000001</v>
      </c>
      <c r="F25" s="31"/>
    </row>
    <row r="26" spans="1:6" ht="13.5" customHeight="1">
      <c r="A26" s="3" t="s">
        <v>184</v>
      </c>
      <c r="B26" s="6" t="s">
        <v>5</v>
      </c>
      <c r="C26" s="37">
        <f>2396.29*1.05</f>
        <v>2516.1044999999999</v>
      </c>
      <c r="D26" s="38">
        <f>862.66*1.05</f>
        <v>905.79300000000001</v>
      </c>
      <c r="F26" s="31"/>
    </row>
    <row r="27" spans="1:6" ht="13.5" customHeight="1">
      <c r="A27" s="3" t="s">
        <v>185</v>
      </c>
      <c r="B27" s="6" t="s">
        <v>5</v>
      </c>
      <c r="C27" s="37">
        <f>3080.94*1.05</f>
        <v>3234.9870000000001</v>
      </c>
      <c r="D27" s="37">
        <f>2218.28*1.05</f>
        <v>2329.1940000000004</v>
      </c>
      <c r="F27" s="31"/>
    </row>
    <row r="28" spans="1:6" ht="13.5" customHeight="1">
      <c r="A28" s="3" t="s">
        <v>186</v>
      </c>
      <c r="B28" s="6" t="s">
        <v>5</v>
      </c>
      <c r="C28" s="37">
        <f>3080.94*1.05</f>
        <v>3234.9870000000001</v>
      </c>
      <c r="D28" s="37">
        <f>2218.28*1.05</f>
        <v>2329.1940000000004</v>
      </c>
      <c r="F28" s="31"/>
    </row>
    <row r="29" spans="1:6" ht="13.5" customHeight="1">
      <c r="A29" s="21" t="s">
        <v>187</v>
      </c>
      <c r="B29" s="22" t="s">
        <v>2</v>
      </c>
      <c r="C29" s="32" t="s">
        <v>3</v>
      </c>
      <c r="D29" s="32" t="s">
        <v>4</v>
      </c>
    </row>
    <row r="30" spans="1:6" ht="13.5" customHeight="1">
      <c r="A30" s="3" t="s">
        <v>188</v>
      </c>
      <c r="B30" s="6" t="s">
        <v>189</v>
      </c>
      <c r="C30" s="38">
        <f>747.45*1.05</f>
        <v>784.8225000000001</v>
      </c>
      <c r="D30" s="37">
        <f>1793.89*1.05</f>
        <v>1883.5845000000002</v>
      </c>
      <c r="F30" s="31"/>
    </row>
    <row r="31" spans="1:6" ht="13.5" customHeight="1">
      <c r="A31" s="3" t="s">
        <v>190</v>
      </c>
      <c r="B31" s="6" t="s">
        <v>189</v>
      </c>
      <c r="C31" s="38">
        <f>747.45*1.05</f>
        <v>784.8225000000001</v>
      </c>
      <c r="D31" s="37">
        <f>1793.89*1.05</f>
        <v>1883.5845000000002</v>
      </c>
      <c r="F31" s="31"/>
    </row>
    <row r="32" spans="1:6" ht="13.5" customHeight="1">
      <c r="A32" s="3" t="s">
        <v>191</v>
      </c>
      <c r="B32" s="6" t="s">
        <v>189</v>
      </c>
      <c r="C32" s="38">
        <f>747.45*1.05</f>
        <v>784.8225000000001</v>
      </c>
      <c r="D32" s="37">
        <f>1793.89*1.05</f>
        <v>1883.5845000000002</v>
      </c>
      <c r="F32" s="31"/>
    </row>
    <row r="33" spans="1:6" ht="13.5" customHeight="1">
      <c r="A33" s="3" t="s">
        <v>192</v>
      </c>
      <c r="B33" s="6" t="s">
        <v>189</v>
      </c>
      <c r="C33" s="38">
        <f>832.88*1.05</f>
        <v>874.524</v>
      </c>
      <c r="D33" s="37">
        <f>2499.68*1.05</f>
        <v>2624.6639999999998</v>
      </c>
      <c r="F33" s="31"/>
    </row>
    <row r="34" spans="1:6" ht="13.5" customHeight="1">
      <c r="A34" s="3" t="s">
        <v>193</v>
      </c>
      <c r="B34" s="6" t="s">
        <v>189</v>
      </c>
      <c r="C34" s="38">
        <f>832.88*1.05</f>
        <v>874.524</v>
      </c>
      <c r="D34" s="37">
        <f>2398.7*1.05</f>
        <v>2518.6349999999998</v>
      </c>
      <c r="F34" s="31"/>
    </row>
    <row r="35" spans="1:6" ht="13.5" customHeight="1">
      <c r="A35" s="21" t="s">
        <v>194</v>
      </c>
      <c r="B35" s="22" t="s">
        <v>2</v>
      </c>
      <c r="C35" s="32" t="s">
        <v>3</v>
      </c>
      <c r="D35" s="32" t="s">
        <v>4</v>
      </c>
    </row>
    <row r="36" spans="1:6" ht="13.5" customHeight="1">
      <c r="A36" s="3" t="s">
        <v>195</v>
      </c>
      <c r="B36" s="6" t="s">
        <v>5</v>
      </c>
      <c r="C36" s="37">
        <f>14011.7*1.05</f>
        <v>14712.285000000002</v>
      </c>
      <c r="D36" s="37">
        <f>12411*1.05</f>
        <v>13031.550000000001</v>
      </c>
      <c r="F36" s="31"/>
    </row>
    <row r="37" spans="1:6" ht="13.5" customHeight="1">
      <c r="A37" s="3" t="s">
        <v>196</v>
      </c>
      <c r="B37" s="6" t="s">
        <v>5</v>
      </c>
      <c r="C37" s="37">
        <f>13454.55*1.05</f>
        <v>14127.2775</v>
      </c>
      <c r="D37" s="37">
        <f>11917.5*1.05</f>
        <v>12513.375</v>
      </c>
      <c r="F37" s="31"/>
    </row>
    <row r="38" spans="1:6" ht="13.5" customHeight="1">
      <c r="A38" s="3" t="s">
        <v>197</v>
      </c>
      <c r="B38" s="6" t="s">
        <v>99</v>
      </c>
      <c r="C38" s="39">
        <f>13454.55*1.05</f>
        <v>14127.2775</v>
      </c>
      <c r="D38" s="39">
        <f>11917.5*1.05</f>
        <v>12513.375</v>
      </c>
      <c r="F38" s="31"/>
    </row>
    <row r="39" spans="1:6" ht="13.5" customHeight="1">
      <c r="A39" s="3" t="s">
        <v>198</v>
      </c>
      <c r="B39" s="6" t="s">
        <v>5</v>
      </c>
      <c r="C39" s="37">
        <f>10490.99*1.05</f>
        <v>11015.539500000001</v>
      </c>
      <c r="D39" s="37">
        <f>9292.5*1.05</f>
        <v>9757.125</v>
      </c>
      <c r="F39" s="31"/>
    </row>
    <row r="40" spans="1:6" ht="13.5" customHeight="1">
      <c r="A40" s="3" t="s">
        <v>199</v>
      </c>
      <c r="B40" s="6" t="s">
        <v>5</v>
      </c>
      <c r="C40" s="37">
        <f>10087.95*1.05</f>
        <v>10592.347500000002</v>
      </c>
      <c r="D40" s="37">
        <f>8935.5*1.05</f>
        <v>9382.2749999999996</v>
      </c>
      <c r="F40" s="31"/>
    </row>
    <row r="41" spans="1:6" ht="13.5" customHeight="1">
      <c r="A41" s="3" t="s">
        <v>200</v>
      </c>
      <c r="B41" s="6" t="s">
        <v>5</v>
      </c>
      <c r="C41" s="37">
        <f>8736.57*1.05</f>
        <v>9173.3984999999993</v>
      </c>
      <c r="D41" s="37">
        <f>7738.5*1.05</f>
        <v>8125.4250000000002</v>
      </c>
      <c r="F41" s="31"/>
    </row>
    <row r="42" spans="1:6" ht="24" customHeight="1">
      <c r="A42" s="74" t="s">
        <v>201</v>
      </c>
      <c r="B42" s="11" t="s">
        <v>5</v>
      </c>
      <c r="C42" s="37">
        <f>20074.57*1.05</f>
        <v>21078.298500000001</v>
      </c>
      <c r="D42" s="37">
        <f>17858.34*1.05</f>
        <v>18751.257000000001</v>
      </c>
      <c r="F42" s="31"/>
    </row>
    <row r="43" spans="1:6" ht="13.5" customHeight="1">
      <c r="A43" s="136" t="s">
        <v>202</v>
      </c>
      <c r="B43" s="176"/>
      <c r="C43" s="176"/>
      <c r="D43" s="137"/>
    </row>
    <row r="44" spans="1:6" ht="26.25" customHeight="1">
      <c r="A44" s="48" t="s">
        <v>363</v>
      </c>
      <c r="B44" s="49" t="s">
        <v>325</v>
      </c>
      <c r="C44" s="49" t="s">
        <v>326</v>
      </c>
      <c r="D44" s="49" t="s">
        <v>327</v>
      </c>
    </row>
    <row r="45" spans="1:6" ht="13.5" customHeight="1">
      <c r="A45" s="3" t="s">
        <v>206</v>
      </c>
      <c r="B45" s="6" t="s">
        <v>5</v>
      </c>
      <c r="C45" s="6" t="s">
        <v>13</v>
      </c>
      <c r="D45" s="34">
        <f>26.69*1.05</f>
        <v>28.024500000000003</v>
      </c>
      <c r="F45" s="31"/>
    </row>
    <row r="46" spans="1:6" ht="13.5" customHeight="1">
      <c r="A46" s="3" t="s">
        <v>207</v>
      </c>
      <c r="B46" s="6" t="s">
        <v>5</v>
      </c>
      <c r="C46" s="6" t="s">
        <v>13</v>
      </c>
      <c r="D46" s="34">
        <f>106.77*1.05</f>
        <v>112.10850000000001</v>
      </c>
      <c r="F46" s="31"/>
    </row>
    <row r="47" spans="1:6" ht="13.5" customHeight="1">
      <c r="A47" s="3" t="s">
        <v>208</v>
      </c>
      <c r="B47" s="6" t="s">
        <v>5</v>
      </c>
      <c r="C47" s="6" t="s">
        <v>13</v>
      </c>
      <c r="D47" s="34">
        <f>331.01*1.05</f>
        <v>347.56049999999999</v>
      </c>
      <c r="F47" s="31"/>
    </row>
    <row r="48" spans="1:6" ht="13.5" customHeight="1">
      <c r="A48" s="3" t="s">
        <v>209</v>
      </c>
      <c r="B48" s="6" t="s">
        <v>5</v>
      </c>
      <c r="C48" s="6" t="s">
        <v>13</v>
      </c>
      <c r="D48" s="34">
        <f>565.93*1.05</f>
        <v>594.22649999999999</v>
      </c>
      <c r="F48" s="31"/>
    </row>
    <row r="49" spans="1:6" ht="13.5" customHeight="1">
      <c r="A49" s="3" t="s">
        <v>210</v>
      </c>
      <c r="B49" s="6" t="s">
        <v>5</v>
      </c>
      <c r="C49" s="6" t="s">
        <v>13</v>
      </c>
      <c r="D49" s="34">
        <f>256.27*1.05</f>
        <v>269.08350000000002</v>
      </c>
      <c r="F49" s="31"/>
    </row>
    <row r="50" spans="1:6" ht="13.5" customHeight="1">
      <c r="A50" s="3" t="s">
        <v>211</v>
      </c>
      <c r="B50" s="6" t="s">
        <v>5</v>
      </c>
      <c r="C50" s="6" t="s">
        <v>13</v>
      </c>
      <c r="D50" s="34">
        <f>597.96*1.05</f>
        <v>627.85800000000006</v>
      </c>
      <c r="F50" s="31"/>
    </row>
    <row r="51" spans="1:6" ht="13.5" customHeight="1">
      <c r="A51" s="3" t="s">
        <v>212</v>
      </c>
      <c r="B51" s="6" t="s">
        <v>5</v>
      </c>
      <c r="C51" s="6" t="s">
        <v>13</v>
      </c>
      <c r="D51" s="35">
        <f>1041.19*1.05</f>
        <v>1093.2495000000001</v>
      </c>
      <c r="F51" s="31"/>
    </row>
    <row r="52" spans="1:6" ht="13.5" customHeight="1">
      <c r="A52" s="3" t="s">
        <v>213</v>
      </c>
      <c r="B52" s="6" t="s">
        <v>5</v>
      </c>
      <c r="C52" s="6" t="s">
        <v>13</v>
      </c>
      <c r="D52" s="35">
        <f>1217.29*1.05</f>
        <v>1278.1545000000001</v>
      </c>
      <c r="F52" s="31"/>
    </row>
    <row r="53" spans="1:6" ht="13.5" customHeight="1">
      <c r="A53" s="3" t="s">
        <v>214</v>
      </c>
      <c r="B53" s="6" t="s">
        <v>5</v>
      </c>
      <c r="C53" s="6" t="s">
        <v>13</v>
      </c>
      <c r="D53" s="34">
        <f>472.5*1.05</f>
        <v>496.125</v>
      </c>
      <c r="F53" s="31"/>
    </row>
    <row r="54" spans="1:6" ht="13.5" customHeight="1">
      <c r="A54" s="21" t="s">
        <v>215</v>
      </c>
      <c r="B54" s="32" t="s">
        <v>2</v>
      </c>
      <c r="C54" s="32" t="s">
        <v>3</v>
      </c>
      <c r="D54" s="32" t="s">
        <v>4</v>
      </c>
    </row>
    <row r="55" spans="1:6" ht="13.5" customHeight="1">
      <c r="A55" s="3" t="s">
        <v>216</v>
      </c>
      <c r="B55" s="6" t="s">
        <v>5</v>
      </c>
      <c r="C55" s="37">
        <f>1975.05*1.05</f>
        <v>2073.8025000000002</v>
      </c>
      <c r="D55" s="37">
        <f>1975.05*1.05</f>
        <v>2073.8025000000002</v>
      </c>
      <c r="F55" s="31"/>
    </row>
    <row r="56" spans="1:6" ht="13.5" customHeight="1">
      <c r="A56" s="3" t="s">
        <v>217</v>
      </c>
      <c r="B56" s="6" t="s">
        <v>5</v>
      </c>
      <c r="C56" s="37">
        <f>1697.85*1.05</f>
        <v>1782.7425000000001</v>
      </c>
      <c r="D56" s="37">
        <f>1697.85*1.05</f>
        <v>1782.7425000000001</v>
      </c>
      <c r="F56" s="31"/>
    </row>
    <row r="57" spans="1:6" ht="13.5" customHeight="1">
      <c r="A57" s="3" t="s">
        <v>218</v>
      </c>
      <c r="B57" s="6" t="s">
        <v>5</v>
      </c>
      <c r="C57" s="38">
        <f>640.5*1.05</f>
        <v>672.52499999999998</v>
      </c>
      <c r="D57" s="38">
        <f>640.5*1.05</f>
        <v>672.52499999999998</v>
      </c>
      <c r="F57" s="31"/>
    </row>
    <row r="58" spans="1:6" ht="13.5" customHeight="1">
      <c r="A58" s="3" t="s">
        <v>219</v>
      </c>
      <c r="B58" s="6" t="s">
        <v>5</v>
      </c>
      <c r="C58" s="37">
        <f>1559.25*1.05</f>
        <v>1637.2125000000001</v>
      </c>
      <c r="D58" s="37">
        <f>1559.25*1.05</f>
        <v>1637.2125000000001</v>
      </c>
      <c r="F58" s="31"/>
    </row>
    <row r="59" spans="1:6" ht="13.5" customHeight="1">
      <c r="A59" s="3" t="s">
        <v>220</v>
      </c>
      <c r="B59" s="6" t="s">
        <v>5</v>
      </c>
      <c r="C59" s="11" t="s">
        <v>13</v>
      </c>
      <c r="D59" s="37">
        <f>1848*1.05</f>
        <v>1940.4</v>
      </c>
      <c r="F59" s="31"/>
    </row>
  </sheetData>
  <mergeCells count="6">
    <mergeCell ref="A43:D43"/>
    <mergeCell ref="A2:D2"/>
    <mergeCell ref="A3:B3"/>
    <mergeCell ref="A5:F5"/>
    <mergeCell ref="A6:C6"/>
    <mergeCell ref="A11:C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1" workbookViewId="0">
      <selection activeCell="A12" sqref="A12"/>
    </sheetView>
  </sheetViews>
  <sheetFormatPr defaultRowHeight="12.75"/>
  <cols>
    <col min="1" max="1" width="79.83203125" customWidth="1"/>
    <col min="2" max="2" width="9.5" customWidth="1"/>
    <col min="3" max="3" width="13.5" customWidth="1"/>
    <col min="4" max="4" width="14.5" customWidth="1"/>
    <col min="5" max="5" width="9.33203125" style="30"/>
  </cols>
  <sheetData>
    <row r="1" spans="1:6" ht="21" customHeight="1">
      <c r="A1" s="1"/>
      <c r="E1"/>
    </row>
    <row r="2" spans="1:6" ht="15.75">
      <c r="A2" s="165" t="s">
        <v>412</v>
      </c>
      <c r="B2" s="165"/>
      <c r="C2" s="165"/>
      <c r="D2" s="165"/>
      <c r="E2"/>
    </row>
    <row r="3" spans="1:6" ht="15.75">
      <c r="A3" s="128" t="s">
        <v>413</v>
      </c>
      <c r="B3" s="128"/>
      <c r="C3" s="113"/>
      <c r="D3" s="113"/>
      <c r="E3"/>
    </row>
    <row r="4" spans="1:6">
      <c r="A4" s="108"/>
      <c r="E4"/>
    </row>
    <row r="5" spans="1:6" ht="15">
      <c r="A5" s="127" t="s">
        <v>411</v>
      </c>
      <c r="B5" s="127"/>
      <c r="C5" s="127"/>
      <c r="D5" s="127"/>
      <c r="E5" s="127"/>
      <c r="F5" s="127"/>
    </row>
    <row r="6" spans="1:6" ht="15">
      <c r="A6" s="130" t="s">
        <v>334</v>
      </c>
      <c r="B6" s="130"/>
      <c r="C6" s="130"/>
      <c r="D6" s="110"/>
      <c r="E6" s="110"/>
      <c r="F6" s="110"/>
    </row>
    <row r="7" spans="1:6">
      <c r="E7"/>
    </row>
    <row r="11" spans="1:6" ht="25.5" customHeight="1">
      <c r="A11" s="183" t="s">
        <v>414</v>
      </c>
      <c r="B11" s="184"/>
      <c r="C11" s="184"/>
      <c r="D11" s="185"/>
    </row>
    <row r="12" spans="1:6" ht="27.75" customHeight="1">
      <c r="A12" s="114" t="s">
        <v>415</v>
      </c>
      <c r="B12" s="32" t="s">
        <v>2</v>
      </c>
      <c r="C12" s="32" t="s">
        <v>416</v>
      </c>
      <c r="D12" s="32" t="s">
        <v>4</v>
      </c>
    </row>
    <row r="13" spans="1:6" ht="13.5" customHeight="1">
      <c r="A13" s="3" t="s">
        <v>221</v>
      </c>
      <c r="B13" s="41" t="s">
        <v>5</v>
      </c>
      <c r="C13" s="42">
        <f>4420.68*1.05</f>
        <v>4641.7140000000009</v>
      </c>
      <c r="D13" s="42">
        <f>3315.51*1.05</f>
        <v>3481.2855000000004</v>
      </c>
      <c r="E13" s="31"/>
    </row>
    <row r="14" spans="1:6" ht="13.5" customHeight="1">
      <c r="A14" s="3" t="s">
        <v>222</v>
      </c>
      <c r="B14" s="41" t="s">
        <v>5</v>
      </c>
      <c r="C14" s="42">
        <f>4420.68*1.05</f>
        <v>4641.7140000000009</v>
      </c>
      <c r="D14" s="42">
        <f>3978.61*1.05</f>
        <v>4177.5405000000001</v>
      </c>
      <c r="E14" s="31"/>
    </row>
    <row r="15" spans="1:6" ht="13.5" customHeight="1">
      <c r="A15" s="3" t="s">
        <v>223</v>
      </c>
      <c r="B15" s="41" t="s">
        <v>5</v>
      </c>
      <c r="C15" s="42">
        <f>5061.36*1.05</f>
        <v>5314.4279999999999</v>
      </c>
      <c r="D15" s="41" t="s">
        <v>13</v>
      </c>
    </row>
    <row r="16" spans="1:6" ht="25.5" customHeight="1">
      <c r="A16" s="72" t="s">
        <v>224</v>
      </c>
      <c r="B16" s="32" t="s">
        <v>2</v>
      </c>
      <c r="C16" s="32" t="s">
        <v>3</v>
      </c>
      <c r="D16" s="32" t="s">
        <v>4</v>
      </c>
    </row>
    <row r="17" spans="1:5" ht="13.5" customHeight="1">
      <c r="A17" s="3" t="s">
        <v>225</v>
      </c>
      <c r="B17" s="41" t="s">
        <v>5</v>
      </c>
      <c r="C17" s="42">
        <f>5061.36*1.05</f>
        <v>5314.4279999999999</v>
      </c>
      <c r="D17" s="41" t="s">
        <v>13</v>
      </c>
    </row>
    <row r="18" spans="1:5" ht="13.5" customHeight="1">
      <c r="A18" s="21" t="s">
        <v>226</v>
      </c>
      <c r="B18" s="43" t="s">
        <v>2</v>
      </c>
      <c r="C18" s="43" t="s">
        <v>3</v>
      </c>
      <c r="D18" s="43" t="s">
        <v>4</v>
      </c>
    </row>
    <row r="19" spans="1:5" ht="13.5" customHeight="1">
      <c r="A19" s="3" t="s">
        <v>227</v>
      </c>
      <c r="B19" s="41" t="s">
        <v>5</v>
      </c>
      <c r="C19" s="41" t="s">
        <v>13</v>
      </c>
      <c r="D19" s="41" t="s">
        <v>12</v>
      </c>
    </row>
    <row r="20" spans="1:5" ht="13.5" customHeight="1">
      <c r="A20" s="3" t="s">
        <v>228</v>
      </c>
      <c r="B20" s="41" t="s">
        <v>5</v>
      </c>
      <c r="C20" s="41" t="s">
        <v>13</v>
      </c>
      <c r="D20" s="41" t="s">
        <v>12</v>
      </c>
    </row>
    <row r="21" spans="1:5" ht="13.5" customHeight="1">
      <c r="A21" s="3" t="s">
        <v>229</v>
      </c>
      <c r="B21" s="41" t="s">
        <v>5</v>
      </c>
      <c r="C21" s="41" t="s">
        <v>13</v>
      </c>
      <c r="D21" s="41" t="s">
        <v>12</v>
      </c>
    </row>
    <row r="22" spans="1:5" ht="13.5" customHeight="1">
      <c r="A22" s="3" t="s">
        <v>230</v>
      </c>
      <c r="B22" s="41" t="s">
        <v>5</v>
      </c>
      <c r="C22" s="41" t="s">
        <v>13</v>
      </c>
      <c r="D22" s="41" t="s">
        <v>12</v>
      </c>
    </row>
    <row r="23" spans="1:5" ht="13.5" customHeight="1">
      <c r="A23" s="3" t="s">
        <v>231</v>
      </c>
      <c r="B23" s="41" t="s">
        <v>5</v>
      </c>
      <c r="C23" s="41" t="s">
        <v>13</v>
      </c>
      <c r="D23" s="41" t="s">
        <v>12</v>
      </c>
    </row>
    <row r="24" spans="1:5" ht="13.5" customHeight="1">
      <c r="A24" s="3" t="s">
        <v>232</v>
      </c>
      <c r="B24" s="41" t="s">
        <v>5</v>
      </c>
      <c r="C24" s="41" t="s">
        <v>13</v>
      </c>
      <c r="D24" s="41" t="s">
        <v>12</v>
      </c>
    </row>
    <row r="25" spans="1:5" ht="30" customHeight="1">
      <c r="A25" s="48" t="s">
        <v>324</v>
      </c>
      <c r="B25" s="49" t="s">
        <v>325</v>
      </c>
      <c r="C25" s="49" t="s">
        <v>326</v>
      </c>
      <c r="D25" s="49" t="s">
        <v>327</v>
      </c>
    </row>
    <row r="26" spans="1:5" ht="13.5" customHeight="1">
      <c r="A26" s="3" t="s">
        <v>233</v>
      </c>
      <c r="B26" s="41" t="s">
        <v>5</v>
      </c>
      <c r="C26" s="41" t="s">
        <v>13</v>
      </c>
      <c r="D26" s="45">
        <f>630*1.05</f>
        <v>661.5</v>
      </c>
      <c r="E26" s="31"/>
    </row>
    <row r="27" spans="1:5" ht="13.5" customHeight="1">
      <c r="A27" s="3" t="s">
        <v>234</v>
      </c>
      <c r="B27" s="41" t="s">
        <v>5</v>
      </c>
      <c r="C27" s="41" t="s">
        <v>13</v>
      </c>
      <c r="D27" s="45">
        <f>760.27*1.05</f>
        <v>798.2835</v>
      </c>
      <c r="E27" s="31"/>
    </row>
    <row r="28" spans="1:5" ht="13.5" customHeight="1">
      <c r="A28" s="3" t="s">
        <v>235</v>
      </c>
      <c r="B28" s="41" t="s">
        <v>5</v>
      </c>
      <c r="C28" s="41" t="s">
        <v>13</v>
      </c>
      <c r="D28" s="45">
        <f>653.49*1.05</f>
        <v>686.16450000000009</v>
      </c>
      <c r="E28" s="31"/>
    </row>
    <row r="29" spans="1:5" ht="13.5" customHeight="1">
      <c r="A29" s="3" t="s">
        <v>236</v>
      </c>
      <c r="B29" s="41" t="s">
        <v>5</v>
      </c>
      <c r="C29" s="41" t="s">
        <v>13</v>
      </c>
      <c r="D29" s="45">
        <f>226.37*1.05</f>
        <v>237.6885</v>
      </c>
      <c r="E29" s="31"/>
    </row>
    <row r="30" spans="1:5" ht="13.5" customHeight="1">
      <c r="A30" s="3" t="s">
        <v>237</v>
      </c>
      <c r="B30" s="41" t="s">
        <v>5</v>
      </c>
      <c r="C30" s="41" t="s">
        <v>13</v>
      </c>
      <c r="D30" s="41" t="s">
        <v>12</v>
      </c>
    </row>
    <row r="31" spans="1:5" ht="13.5" customHeight="1">
      <c r="A31" s="3" t="s">
        <v>238</v>
      </c>
      <c r="B31" s="41" t="s">
        <v>239</v>
      </c>
      <c r="C31" s="41" t="s">
        <v>13</v>
      </c>
      <c r="D31" s="41" t="s">
        <v>12</v>
      </c>
    </row>
    <row r="32" spans="1:5" ht="26.25" customHeight="1">
      <c r="A32" s="72" t="s">
        <v>240</v>
      </c>
      <c r="B32" s="43" t="s">
        <v>2</v>
      </c>
      <c r="C32" s="43" t="s">
        <v>3</v>
      </c>
      <c r="D32" s="43" t="s">
        <v>4</v>
      </c>
    </row>
    <row r="33" spans="1:5" ht="13.5" customHeight="1">
      <c r="A33" s="3" t="s">
        <v>241</v>
      </c>
      <c r="B33" s="41" t="s">
        <v>5</v>
      </c>
      <c r="C33" s="41" t="s">
        <v>13</v>
      </c>
      <c r="D33" s="41" t="s">
        <v>12</v>
      </c>
    </row>
    <row r="34" spans="1:5" ht="13.5" customHeight="1">
      <c r="A34" s="3" t="s">
        <v>242</v>
      </c>
      <c r="B34" s="41" t="s">
        <v>5</v>
      </c>
      <c r="C34" s="42">
        <f>1995*1.05</f>
        <v>2094.75</v>
      </c>
      <c r="D34" s="42">
        <f>6085.55*1.05</f>
        <v>6389.8275000000003</v>
      </c>
      <c r="E34" s="31"/>
    </row>
    <row r="35" spans="1:5" ht="13.5" customHeight="1">
      <c r="A35" s="3" t="s">
        <v>243</v>
      </c>
      <c r="B35" s="41" t="s">
        <v>5</v>
      </c>
      <c r="C35" s="41" t="s">
        <v>13</v>
      </c>
      <c r="D35" s="41" t="s">
        <v>12</v>
      </c>
    </row>
    <row r="36" spans="1:5" ht="13.5" customHeight="1">
      <c r="A36" s="47" t="s">
        <v>331</v>
      </c>
      <c r="B36" s="44" t="s">
        <v>203</v>
      </c>
      <c r="C36" s="44" t="s">
        <v>204</v>
      </c>
      <c r="D36" s="44" t="s">
        <v>205</v>
      </c>
    </row>
    <row r="37" spans="1:5" ht="13.5" customHeight="1">
      <c r="A37" s="3" t="s">
        <v>244</v>
      </c>
      <c r="B37" s="41" t="s">
        <v>5</v>
      </c>
      <c r="C37" s="41" t="s">
        <v>13</v>
      </c>
      <c r="D37" s="45">
        <f>693*1.05</f>
        <v>727.65</v>
      </c>
      <c r="E37" s="31"/>
    </row>
    <row r="38" spans="1:5" ht="13.5" customHeight="1">
      <c r="A38" s="3" t="s">
        <v>245</v>
      </c>
      <c r="B38" s="41" t="s">
        <v>5</v>
      </c>
      <c r="C38" s="41" t="s">
        <v>13</v>
      </c>
      <c r="D38" s="45">
        <f>609*1.05</f>
        <v>639.45000000000005</v>
      </c>
      <c r="E38" s="31"/>
    </row>
    <row r="39" spans="1:5" ht="13.5" customHeight="1">
      <c r="A39" s="3" t="s">
        <v>246</v>
      </c>
      <c r="B39" s="41" t="s">
        <v>5</v>
      </c>
      <c r="C39" s="41" t="s">
        <v>13</v>
      </c>
      <c r="D39" s="45">
        <f>514.5*1.05</f>
        <v>540.22500000000002</v>
      </c>
      <c r="E39" s="31"/>
    </row>
    <row r="40" spans="1:5" ht="13.5" customHeight="1">
      <c r="A40" s="3" t="s">
        <v>247</v>
      </c>
      <c r="B40" s="41" t="s">
        <v>5</v>
      </c>
      <c r="C40" s="41" t="s">
        <v>13</v>
      </c>
      <c r="D40" s="45">
        <f>383.25*1.05</f>
        <v>402.41250000000002</v>
      </c>
      <c r="E40" s="31"/>
    </row>
    <row r="41" spans="1:5" ht="13.5" customHeight="1">
      <c r="A41" s="6" t="s">
        <v>248</v>
      </c>
      <c r="B41" s="46"/>
      <c r="C41" s="46"/>
      <c r="D41" s="46"/>
    </row>
    <row r="42" spans="1:5" ht="13.5" customHeight="1">
      <c r="A42" s="21" t="s">
        <v>249</v>
      </c>
      <c r="B42" s="43" t="s">
        <v>2</v>
      </c>
      <c r="C42" s="43" t="s">
        <v>3</v>
      </c>
      <c r="D42" s="43" t="s">
        <v>4</v>
      </c>
    </row>
    <row r="43" spans="1:5" ht="13.5" customHeight="1">
      <c r="A43" s="3" t="s">
        <v>250</v>
      </c>
      <c r="B43" s="41" t="s">
        <v>5</v>
      </c>
      <c r="C43" s="42">
        <f>1785*1.05</f>
        <v>1874.25</v>
      </c>
      <c r="D43" s="45">
        <f>428.4*1.05</f>
        <v>449.82</v>
      </c>
      <c r="E43" s="31"/>
    </row>
    <row r="44" spans="1:5" ht="13.5" customHeight="1">
      <c r="A44" s="3" t="s">
        <v>251</v>
      </c>
      <c r="B44" s="41" t="s">
        <v>5</v>
      </c>
      <c r="C44" s="46"/>
      <c r="D44" s="41" t="s">
        <v>12</v>
      </c>
    </row>
    <row r="45" spans="1:5" ht="13.5" customHeight="1">
      <c r="A45" s="21" t="s">
        <v>252</v>
      </c>
      <c r="B45" s="43" t="s">
        <v>2</v>
      </c>
      <c r="C45" s="43" t="s">
        <v>3</v>
      </c>
      <c r="D45" s="43" t="s">
        <v>4</v>
      </c>
    </row>
    <row r="46" spans="1:5" ht="13.5" customHeight="1">
      <c r="A46" s="3" t="s">
        <v>253</v>
      </c>
      <c r="B46" s="41" t="s">
        <v>32</v>
      </c>
      <c r="C46" s="42">
        <f>1648.5*1.05</f>
        <v>1730.9250000000002</v>
      </c>
      <c r="D46" s="42">
        <f>2802.45*1.05</f>
        <v>2942.5724999999998</v>
      </c>
      <c r="E46" s="31"/>
    </row>
  </sheetData>
  <mergeCells count="5">
    <mergeCell ref="A11:D11"/>
    <mergeCell ref="A2:D2"/>
    <mergeCell ref="A3:B3"/>
    <mergeCell ref="A5:F5"/>
    <mergeCell ref="A6:C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H6" sqref="H6"/>
    </sheetView>
  </sheetViews>
  <sheetFormatPr defaultRowHeight="12.75"/>
  <cols>
    <col min="1" max="1" width="78.6640625" customWidth="1"/>
    <col min="2" max="2" width="10.83203125" customWidth="1"/>
    <col min="3" max="3" width="14.1640625" customWidth="1"/>
    <col min="4" max="4" width="15.83203125" customWidth="1"/>
    <col min="5" max="5" width="2.83203125" customWidth="1"/>
  </cols>
  <sheetData>
    <row r="1" spans="1:6" ht="21" customHeight="1">
      <c r="A1" s="1"/>
    </row>
    <row r="2" spans="1:6" ht="15.75">
      <c r="A2" s="165" t="s">
        <v>412</v>
      </c>
      <c r="B2" s="165"/>
      <c r="C2" s="165"/>
      <c r="D2" s="165"/>
    </row>
    <row r="3" spans="1:6" ht="15.75">
      <c r="A3" s="128" t="s">
        <v>413</v>
      </c>
      <c r="B3" s="128"/>
      <c r="C3" s="113"/>
      <c r="D3" s="113"/>
    </row>
    <row r="4" spans="1:6">
      <c r="A4" s="108"/>
    </row>
    <row r="5" spans="1:6" ht="15">
      <c r="A5" s="127" t="s">
        <v>411</v>
      </c>
      <c r="B5" s="127"/>
      <c r="C5" s="127"/>
      <c r="D5" s="127"/>
      <c r="E5" s="127"/>
      <c r="F5" s="127"/>
    </row>
    <row r="6" spans="1:6" ht="15">
      <c r="A6" s="130" t="s">
        <v>334</v>
      </c>
      <c r="B6" s="130"/>
      <c r="C6" s="130"/>
      <c r="D6" s="110"/>
      <c r="E6" s="110"/>
      <c r="F6" s="110"/>
    </row>
    <row r="8" spans="1:6" ht="27" customHeight="1"/>
    <row r="9" spans="1:6" ht="13.5" customHeight="1">
      <c r="A9" s="3" t="s">
        <v>254</v>
      </c>
      <c r="B9" s="6" t="s">
        <v>11</v>
      </c>
      <c r="C9" s="17">
        <f>3074.4*1.05</f>
        <v>3228.1200000000003</v>
      </c>
      <c r="D9" s="5">
        <f>39844.22*1.05</f>
        <v>41836.431000000004</v>
      </c>
    </row>
    <row r="10" spans="1:6" ht="13.5" customHeight="1">
      <c r="A10" s="3" t="s">
        <v>255</v>
      </c>
      <c r="B10" s="6" t="s">
        <v>11</v>
      </c>
      <c r="C10" s="17">
        <f>3855.6*1.05</f>
        <v>4048.38</v>
      </c>
      <c r="D10" s="5">
        <f>49968.58*1.05</f>
        <v>52467.009000000005</v>
      </c>
    </row>
    <row r="11" spans="1:6" ht="13.5" customHeight="1">
      <c r="A11" s="3" t="s">
        <v>256</v>
      </c>
      <c r="B11" s="6" t="s">
        <v>11</v>
      </c>
      <c r="C11" s="17">
        <f>4951.8*1.05</f>
        <v>5199.3900000000003</v>
      </c>
      <c r="D11" s="5">
        <f>64175.33*1.05</f>
        <v>67384.0965</v>
      </c>
    </row>
    <row r="12" spans="1:6" ht="13.5" customHeight="1">
      <c r="A12" s="3" t="s">
        <v>257</v>
      </c>
      <c r="B12" s="6" t="s">
        <v>11</v>
      </c>
      <c r="C12" s="17">
        <v>8064</v>
      </c>
      <c r="D12" s="5">
        <f>52254.72*1.05</f>
        <v>54867.456000000006</v>
      </c>
    </row>
    <row r="13" spans="1:6" ht="13.5" customHeight="1">
      <c r="A13" s="3" t="s">
        <v>258</v>
      </c>
      <c r="B13" s="6" t="s">
        <v>11</v>
      </c>
      <c r="C13" s="17">
        <f>1638*1.05</f>
        <v>1719.9</v>
      </c>
      <c r="D13" s="5">
        <f>18869.76*1.05</f>
        <v>19813.248</v>
      </c>
    </row>
    <row r="14" spans="1:6" ht="13.5" customHeight="1">
      <c r="A14" s="3" t="s">
        <v>259</v>
      </c>
      <c r="B14" s="6" t="s">
        <v>11</v>
      </c>
      <c r="C14" s="17">
        <f>1638*1.05</f>
        <v>1719.9</v>
      </c>
      <c r="D14" s="5">
        <f>16511.04*1.05</f>
        <v>17336.592000000001</v>
      </c>
    </row>
    <row r="15" spans="1:6" ht="13.5" customHeight="1">
      <c r="A15" s="3" t="s">
        <v>260</v>
      </c>
      <c r="B15" s="6" t="s">
        <v>11</v>
      </c>
      <c r="C15" s="17">
        <f>1638*1.05</f>
        <v>1719.9</v>
      </c>
      <c r="D15" s="5">
        <f>16511.04*1.05</f>
        <v>17336.592000000001</v>
      </c>
    </row>
    <row r="16" spans="1:6" ht="13.5" customHeight="1">
      <c r="A16" s="3" t="s">
        <v>261</v>
      </c>
      <c r="B16" s="6" t="s">
        <v>11</v>
      </c>
      <c r="C16" s="17">
        <f>2721.6*1.05</f>
        <v>2857.68</v>
      </c>
      <c r="D16" s="5">
        <f>19595.52*1.05</f>
        <v>20575.296000000002</v>
      </c>
    </row>
    <row r="17" spans="1:4" ht="13.5" customHeight="1">
      <c r="A17" s="3" t="s">
        <v>262</v>
      </c>
      <c r="B17" s="6" t="s">
        <v>11</v>
      </c>
      <c r="C17" s="17">
        <f>3276*1.05</f>
        <v>3439.8</v>
      </c>
      <c r="D17" s="5">
        <f>28304.64*1.05</f>
        <v>29719.871999999999</v>
      </c>
    </row>
    <row r="18" spans="1:4" ht="13.5" customHeight="1">
      <c r="A18" s="3" t="s">
        <v>263</v>
      </c>
      <c r="B18" s="6" t="s">
        <v>11</v>
      </c>
      <c r="C18" s="17">
        <f>3276*1.05</f>
        <v>3439.8</v>
      </c>
      <c r="D18" s="5">
        <f>23587.2*1.05</f>
        <v>24766.560000000001</v>
      </c>
    </row>
    <row r="19" spans="1:4" ht="13.5" customHeight="1">
      <c r="A19" s="3" t="s">
        <v>264</v>
      </c>
      <c r="B19" s="6" t="s">
        <v>11</v>
      </c>
      <c r="C19" s="17">
        <f>3276*1.05</f>
        <v>3439.8</v>
      </c>
      <c r="D19" s="5">
        <f>23587.2*1.05</f>
        <v>24766.560000000001</v>
      </c>
    </row>
    <row r="20" spans="1:4" ht="13.5" customHeight="1">
      <c r="A20" s="3" t="s">
        <v>265</v>
      </c>
      <c r="B20" s="6" t="s">
        <v>11</v>
      </c>
      <c r="C20" s="17">
        <f>3477.6*1.05</f>
        <v>3651.48</v>
      </c>
      <c r="D20" s="5">
        <f>30046.46*1.05</f>
        <v>31548.782999999999</v>
      </c>
    </row>
    <row r="21" spans="1:4" ht="13.5" customHeight="1">
      <c r="A21" s="3" t="s">
        <v>266</v>
      </c>
      <c r="B21" s="6" t="s">
        <v>11</v>
      </c>
      <c r="C21" s="17">
        <f>3477.6*1.05</f>
        <v>3651.48</v>
      </c>
      <c r="D21" s="5">
        <f>25038.72*1.05</f>
        <v>26290.656000000003</v>
      </c>
    </row>
    <row r="22" spans="1:4" ht="13.5" customHeight="1">
      <c r="A22" s="3" t="s">
        <v>267</v>
      </c>
      <c r="B22" s="6" t="s">
        <v>11</v>
      </c>
      <c r="C22" s="17">
        <f>3477.6*1.05</f>
        <v>3651.48</v>
      </c>
      <c r="D22" s="5">
        <f>25038.72*1.05</f>
        <v>26290.656000000003</v>
      </c>
    </row>
    <row r="23" spans="1:4" ht="13.5" customHeight="1">
      <c r="A23" s="3" t="s">
        <v>268</v>
      </c>
      <c r="B23" s="6" t="s">
        <v>11</v>
      </c>
      <c r="C23" s="17">
        <f>2545.2*1.05</f>
        <v>2672.46</v>
      </c>
      <c r="D23" s="5">
        <f>21990.53*1.05</f>
        <v>23090.056499999999</v>
      </c>
    </row>
    <row r="24" spans="1:4" ht="13.5" customHeight="1">
      <c r="A24" s="3" t="s">
        <v>269</v>
      </c>
      <c r="B24" s="6" t="s">
        <v>11</v>
      </c>
      <c r="C24" s="17">
        <f>2545.2*1.05</f>
        <v>2672.46</v>
      </c>
      <c r="D24" s="5">
        <f>18325.44*1.05</f>
        <v>19241.712</v>
      </c>
    </row>
    <row r="25" spans="1:4" ht="13.5" customHeight="1">
      <c r="A25" s="3" t="s">
        <v>270</v>
      </c>
      <c r="B25" s="6" t="s">
        <v>11</v>
      </c>
      <c r="C25" s="17">
        <f>2545.2*1.05</f>
        <v>2672.46</v>
      </c>
      <c r="D25" s="5">
        <f>18325.44*1.05</f>
        <v>19241.712</v>
      </c>
    </row>
    <row r="26" spans="1:4" ht="13.5" customHeight="1">
      <c r="A26" s="3" t="s">
        <v>271</v>
      </c>
      <c r="B26" s="6" t="s">
        <v>11</v>
      </c>
      <c r="C26" s="17">
        <f>3981.6*1.05</f>
        <v>4180.68</v>
      </c>
      <c r="D26" s="5">
        <f>28667.52*1.05</f>
        <v>30100.896000000001</v>
      </c>
    </row>
    <row r="27" spans="1:4" ht="13.5" customHeight="1">
      <c r="A27" s="3" t="s">
        <v>272</v>
      </c>
      <c r="B27" s="6" t="s">
        <v>11</v>
      </c>
      <c r="C27" s="17">
        <f>3981.6*1.05</f>
        <v>4180.68</v>
      </c>
      <c r="D27" s="5">
        <f>28667.52*1.05</f>
        <v>30100.896000000001</v>
      </c>
    </row>
    <row r="28" spans="1:4" ht="13.5" customHeight="1">
      <c r="A28" s="3" t="s">
        <v>273</v>
      </c>
      <c r="B28" s="6" t="s">
        <v>11</v>
      </c>
      <c r="C28" s="17">
        <f>1146.6*1.05</f>
        <v>1203.93</v>
      </c>
      <c r="D28" s="5">
        <f>13208.83*1.05</f>
        <v>13869.271500000001</v>
      </c>
    </row>
    <row r="29" spans="1:4" ht="13.5" customHeight="1">
      <c r="A29" s="3" t="s">
        <v>274</v>
      </c>
      <c r="B29" s="6" t="s">
        <v>11</v>
      </c>
      <c r="C29" s="17">
        <f>1146.6*1.05</f>
        <v>1203.93</v>
      </c>
      <c r="D29" s="5">
        <f>16511.04*1.05</f>
        <v>17336.592000000001</v>
      </c>
    </row>
    <row r="30" spans="1:4" ht="13.5" customHeight="1">
      <c r="A30" s="3" t="s">
        <v>275</v>
      </c>
      <c r="B30" s="6" t="s">
        <v>11</v>
      </c>
      <c r="C30" s="17">
        <f>1146.6*1.05</f>
        <v>1203.93</v>
      </c>
      <c r="D30" s="5">
        <f>16511.04*1.05</f>
        <v>17336.592000000001</v>
      </c>
    </row>
    <row r="31" spans="1:4" ht="13.5" customHeight="1">
      <c r="A31" s="3" t="s">
        <v>276</v>
      </c>
      <c r="B31" s="6" t="s">
        <v>11</v>
      </c>
      <c r="C31" s="17">
        <f>1978.2*1.05</f>
        <v>2077.11</v>
      </c>
      <c r="D31" s="5">
        <f>28486.08*1.05</f>
        <v>29910.384000000002</v>
      </c>
    </row>
    <row r="32" spans="1:4" ht="13.5" customHeight="1">
      <c r="A32" s="3" t="s">
        <v>277</v>
      </c>
      <c r="B32" s="6" t="s">
        <v>11</v>
      </c>
      <c r="C32" s="17">
        <f>1978.2*1.05</f>
        <v>2077.11</v>
      </c>
      <c r="D32" s="5">
        <f>22788.86*1.05</f>
        <v>23928.303</v>
      </c>
    </row>
    <row r="33" spans="1:4" ht="13.5" customHeight="1">
      <c r="A33" s="3" t="s">
        <v>278</v>
      </c>
      <c r="B33" s="6" t="s">
        <v>11</v>
      </c>
      <c r="C33" s="17">
        <f>1978.2*1.05</f>
        <v>2077.11</v>
      </c>
      <c r="D33" s="5">
        <f>18515.95*1.05</f>
        <v>19441.747500000001</v>
      </c>
    </row>
    <row r="34" spans="1:4" ht="13.5" customHeight="1">
      <c r="A34" s="3" t="s">
        <v>279</v>
      </c>
      <c r="B34" s="6" t="s">
        <v>11</v>
      </c>
      <c r="C34" s="17">
        <f>1134*1.05</f>
        <v>1190.7</v>
      </c>
      <c r="D34" s="5">
        <f>8164.8*1.05</f>
        <v>8573.0400000000009</v>
      </c>
    </row>
    <row r="35" spans="1:4" ht="13.5" customHeight="1">
      <c r="A35" s="3" t="s">
        <v>280</v>
      </c>
      <c r="B35" s="6" t="s">
        <v>11</v>
      </c>
      <c r="C35" s="17">
        <f>1600.2*1.05</f>
        <v>1680.21</v>
      </c>
      <c r="D35" s="5">
        <f>6912.86*1.05</f>
        <v>7258.5029999999997</v>
      </c>
    </row>
    <row r="36" spans="1:4" ht="13.5" customHeight="1">
      <c r="A36" s="3" t="s">
        <v>281</v>
      </c>
      <c r="B36" s="6" t="s">
        <v>11</v>
      </c>
      <c r="C36" s="17">
        <f>1134*1.05</f>
        <v>1190.7</v>
      </c>
      <c r="D36" s="5">
        <f>8164.8*1.05</f>
        <v>8573.0400000000009</v>
      </c>
    </row>
    <row r="37" spans="1:4" ht="13.5" customHeight="1">
      <c r="A37" s="3" t="s">
        <v>282</v>
      </c>
      <c r="B37" s="6" t="s">
        <v>11</v>
      </c>
      <c r="C37" s="17">
        <f>1600.2*1.05</f>
        <v>1680.21</v>
      </c>
      <c r="D37" s="5">
        <f>6912.86*1.05</f>
        <v>7258.5029999999997</v>
      </c>
    </row>
    <row r="38" spans="1:4" ht="13.5" customHeight="1">
      <c r="A38" s="3" t="s">
        <v>283</v>
      </c>
      <c r="B38" s="6" t="s">
        <v>11</v>
      </c>
      <c r="C38" s="17">
        <f>1134*1.05</f>
        <v>1190.7</v>
      </c>
      <c r="D38" s="5">
        <f>8164.8*1.05</f>
        <v>8573.0400000000009</v>
      </c>
    </row>
    <row r="39" spans="1:4" ht="13.5" customHeight="1">
      <c r="A39" s="3" t="s">
        <v>284</v>
      </c>
      <c r="B39" s="6" t="s">
        <v>11</v>
      </c>
      <c r="C39" s="17">
        <f>1600.2*1.05</f>
        <v>1680.21</v>
      </c>
      <c r="D39" s="5">
        <f>6912.86*1.05</f>
        <v>7258.5029999999997</v>
      </c>
    </row>
    <row r="40" spans="1:4" ht="13.5" customHeight="1">
      <c r="A40" s="3" t="s">
        <v>285</v>
      </c>
      <c r="B40" s="6" t="s">
        <v>11</v>
      </c>
      <c r="C40" s="17">
        <f>6059.38*1.05</f>
        <v>6362.3490000000002</v>
      </c>
      <c r="D40" s="5">
        <f>34902*1.05</f>
        <v>36647.1</v>
      </c>
    </row>
    <row r="41" spans="1:4" ht="13.5" customHeight="1">
      <c r="A41" s="3" t="s">
        <v>286</v>
      </c>
      <c r="B41" s="6" t="s">
        <v>11</v>
      </c>
      <c r="C41" s="17">
        <f>5950*1.05</f>
        <v>6247.5</v>
      </c>
      <c r="D41" s="5">
        <f>34272*1.05</f>
        <v>35985.599999999999</v>
      </c>
    </row>
    <row r="42" spans="1:4" ht="13.5" customHeight="1">
      <c r="A42" s="3" t="s">
        <v>287</v>
      </c>
      <c r="B42" s="6" t="s">
        <v>11</v>
      </c>
      <c r="C42" s="17">
        <f>1203.3*1.05</f>
        <v>1263.4649999999999</v>
      </c>
      <c r="D42" s="5">
        <f>17327.52*1.05</f>
        <v>18193.896000000001</v>
      </c>
    </row>
    <row r="43" spans="1:4" ht="13.5" customHeight="1">
      <c r="A43" s="3" t="s">
        <v>288</v>
      </c>
      <c r="B43" s="6" t="s">
        <v>11</v>
      </c>
      <c r="C43" s="17">
        <f>1203.3*1.05</f>
        <v>1263.4649999999999</v>
      </c>
      <c r="D43" s="5">
        <f>17327.52*1.05</f>
        <v>18193.896000000001</v>
      </c>
    </row>
  </sheetData>
  <mergeCells count="4">
    <mergeCell ref="A2:D2"/>
    <mergeCell ref="A3:B3"/>
    <mergeCell ref="A5:F5"/>
    <mergeCell ref="A6:C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10" sqref="A10:XFD10"/>
    </sheetView>
  </sheetViews>
  <sheetFormatPr defaultRowHeight="12.75"/>
  <cols>
    <col min="1" max="1" width="78.6640625" customWidth="1"/>
    <col min="2" max="2" width="8.5" customWidth="1"/>
    <col min="3" max="3" width="14.1640625" customWidth="1"/>
    <col min="4" max="4" width="15.83203125" customWidth="1"/>
    <col min="5" max="5" width="2.83203125" customWidth="1"/>
  </cols>
  <sheetData>
    <row r="1" spans="1:6" ht="20.25" customHeight="1">
      <c r="A1" s="1"/>
    </row>
    <row r="2" spans="1:6" ht="15.75">
      <c r="A2" s="165" t="s">
        <v>412</v>
      </c>
      <c r="B2" s="165"/>
      <c r="C2" s="165"/>
      <c r="D2" s="165"/>
    </row>
    <row r="3" spans="1:6" ht="15.75">
      <c r="A3" s="128" t="s">
        <v>413</v>
      </c>
      <c r="B3" s="128"/>
      <c r="C3" s="113"/>
      <c r="D3" s="113"/>
    </row>
    <row r="4" spans="1:6">
      <c r="A4" s="108"/>
    </row>
    <row r="5" spans="1:6" ht="15">
      <c r="A5" s="127" t="s">
        <v>411</v>
      </c>
      <c r="B5" s="127"/>
      <c r="C5" s="127"/>
      <c r="D5" s="127"/>
      <c r="E5" s="127"/>
      <c r="F5" s="127"/>
    </row>
    <row r="6" spans="1:6" ht="15">
      <c r="A6" s="130" t="s">
        <v>334</v>
      </c>
      <c r="B6" s="130"/>
      <c r="C6" s="130"/>
      <c r="D6" s="110"/>
      <c r="E6" s="110"/>
      <c r="F6" s="110"/>
    </row>
    <row r="8" spans="1:6">
      <c r="E8" s="30"/>
    </row>
    <row r="9" spans="1:6">
      <c r="E9" s="30"/>
    </row>
    <row r="10" spans="1:6">
      <c r="E10" s="30"/>
    </row>
    <row r="11" spans="1:6" ht="20.25" customHeight="1">
      <c r="A11" s="186" t="s">
        <v>289</v>
      </c>
      <c r="B11" s="187"/>
      <c r="C11" s="187"/>
      <c r="D11" s="188"/>
    </row>
    <row r="12" spans="1:6" ht="13.5" customHeight="1">
      <c r="A12" s="23" t="s">
        <v>290</v>
      </c>
      <c r="B12" s="24" t="s">
        <v>2</v>
      </c>
      <c r="C12" s="25"/>
      <c r="D12" s="26" t="s">
        <v>4</v>
      </c>
    </row>
    <row r="13" spans="1:6" ht="13.5" customHeight="1">
      <c r="A13" s="3" t="s">
        <v>291</v>
      </c>
      <c r="B13" s="6" t="s">
        <v>5</v>
      </c>
      <c r="C13" s="27" t="s">
        <v>13</v>
      </c>
      <c r="D13" s="7">
        <f>834.5*1.05</f>
        <v>876.22500000000002</v>
      </c>
    </row>
    <row r="14" spans="1:6" ht="13.5" customHeight="1">
      <c r="A14" s="3" t="s">
        <v>292</v>
      </c>
      <c r="B14" s="6" t="s">
        <v>5</v>
      </c>
      <c r="C14" s="27" t="s">
        <v>13</v>
      </c>
      <c r="D14" s="5">
        <f>1114.22*1.05</f>
        <v>1169.931</v>
      </c>
    </row>
    <row r="15" spans="1:6" ht="13.5" customHeight="1">
      <c r="A15" s="3" t="s">
        <v>293</v>
      </c>
      <c r="B15" s="6" t="s">
        <v>5</v>
      </c>
      <c r="C15" s="27" t="s">
        <v>13</v>
      </c>
      <c r="D15" s="7">
        <f>596.74*1.05</f>
        <v>626.577</v>
      </c>
    </row>
    <row r="16" spans="1:6" ht="13.5" customHeight="1">
      <c r="A16" s="3" t="s">
        <v>294</v>
      </c>
      <c r="B16" s="6" t="s">
        <v>5</v>
      </c>
      <c r="C16" s="27" t="s">
        <v>13</v>
      </c>
      <c r="D16" s="7">
        <f>932.4*1.05</f>
        <v>979.02</v>
      </c>
    </row>
    <row r="17" spans="1:4" ht="13.5" customHeight="1">
      <c r="A17" s="3" t="s">
        <v>295</v>
      </c>
      <c r="B17" s="6" t="s">
        <v>5</v>
      </c>
      <c r="C17" s="27" t="s">
        <v>13</v>
      </c>
      <c r="D17" s="7">
        <f>193.54*1.05</f>
        <v>203.21700000000001</v>
      </c>
    </row>
    <row r="18" spans="1:4" ht="13.5" customHeight="1">
      <c r="A18" s="3" t="s">
        <v>296</v>
      </c>
      <c r="B18" s="6" t="s">
        <v>5</v>
      </c>
      <c r="C18" s="27" t="s">
        <v>13</v>
      </c>
      <c r="D18" s="7">
        <f>302.4*1.05</f>
        <v>317.52</v>
      </c>
    </row>
    <row r="19" spans="1:4" ht="13.5" customHeight="1">
      <c r="A19" s="3" t="s">
        <v>297</v>
      </c>
      <c r="B19" s="6" t="s">
        <v>5</v>
      </c>
      <c r="C19" s="27" t="s">
        <v>13</v>
      </c>
      <c r="D19" s="7">
        <f>96.77*1.05</f>
        <v>101.60850000000001</v>
      </c>
    </row>
    <row r="20" spans="1:4" ht="13.5" customHeight="1">
      <c r="A20" s="3" t="s">
        <v>298</v>
      </c>
      <c r="B20" s="6" t="s">
        <v>5</v>
      </c>
      <c r="C20" s="27" t="s">
        <v>13</v>
      </c>
      <c r="D20" s="7">
        <f>151.2*1.05</f>
        <v>158.76</v>
      </c>
    </row>
    <row r="21" spans="1:4" ht="13.5" customHeight="1">
      <c r="A21" s="3" t="s">
        <v>299</v>
      </c>
      <c r="B21" s="6" t="s">
        <v>5</v>
      </c>
      <c r="C21" s="27" t="s">
        <v>13</v>
      </c>
      <c r="D21" s="7">
        <f>393.12*1.05</f>
        <v>412.77600000000001</v>
      </c>
    </row>
    <row r="22" spans="1:4" ht="13.5" customHeight="1">
      <c r="A22" s="3" t="s">
        <v>300</v>
      </c>
      <c r="B22" s="6" t="s">
        <v>5</v>
      </c>
      <c r="C22" s="27" t="s">
        <v>13</v>
      </c>
      <c r="D22" s="7">
        <f>661.5*1.05</f>
        <v>694.57500000000005</v>
      </c>
    </row>
    <row r="23" spans="1:4" ht="13.5" customHeight="1">
      <c r="A23" s="3" t="s">
        <v>301</v>
      </c>
      <c r="B23" s="6" t="s">
        <v>5</v>
      </c>
      <c r="C23" s="27" t="s">
        <v>13</v>
      </c>
      <c r="D23" s="7">
        <f>45.36*1.05</f>
        <v>47.628</v>
      </c>
    </row>
    <row r="24" spans="1:4" ht="13.5" customHeight="1">
      <c r="A24" s="3" t="s">
        <v>302</v>
      </c>
      <c r="B24" s="6" t="s">
        <v>5</v>
      </c>
      <c r="C24" s="27" t="s">
        <v>13</v>
      </c>
      <c r="D24" s="7">
        <f>141.12*1.05</f>
        <v>148.17600000000002</v>
      </c>
    </row>
    <row r="25" spans="1:4" ht="13.5" customHeight="1">
      <c r="A25" s="3" t="s">
        <v>303</v>
      </c>
      <c r="B25" s="6" t="s">
        <v>5</v>
      </c>
      <c r="C25" s="27" t="s">
        <v>13</v>
      </c>
      <c r="D25" s="7">
        <f>52.92*1.05</f>
        <v>55.566000000000003</v>
      </c>
    </row>
    <row r="26" spans="1:4" ht="13.5" customHeight="1">
      <c r="A26" s="3" t="s">
        <v>304</v>
      </c>
      <c r="B26" s="6" t="s">
        <v>5</v>
      </c>
      <c r="C26" s="27" t="s">
        <v>13</v>
      </c>
      <c r="D26" s="7">
        <f>63*1.05</f>
        <v>66.150000000000006</v>
      </c>
    </row>
    <row r="27" spans="1:4" ht="13.5" customHeight="1">
      <c r="A27" s="3" t="s">
        <v>305</v>
      </c>
      <c r="B27" s="6" t="s">
        <v>5</v>
      </c>
      <c r="C27" s="27" t="s">
        <v>13</v>
      </c>
      <c r="D27" s="7">
        <f>36.54*1.05</f>
        <v>38.366999999999997</v>
      </c>
    </row>
    <row r="28" spans="1:4" ht="13.5" customHeight="1">
      <c r="A28" s="3" t="s">
        <v>306</v>
      </c>
      <c r="B28" s="6" t="s">
        <v>5</v>
      </c>
      <c r="C28" s="27" t="s">
        <v>13</v>
      </c>
      <c r="D28" s="7">
        <f>131.04*1.05</f>
        <v>137.59199999999998</v>
      </c>
    </row>
    <row r="29" spans="1:4" ht="13.5" customHeight="1">
      <c r="A29" s="3" t="s">
        <v>307</v>
      </c>
      <c r="B29" s="6" t="s">
        <v>5</v>
      </c>
      <c r="C29" s="27" t="s">
        <v>13</v>
      </c>
      <c r="D29" s="5">
        <f>1203.93*1.05</f>
        <v>1264.1265000000001</v>
      </c>
    </row>
    <row r="30" spans="1:4" ht="13.5" customHeight="1">
      <c r="A30" s="3" t="s">
        <v>308</v>
      </c>
      <c r="B30" s="6" t="s">
        <v>5</v>
      </c>
      <c r="C30" s="27" t="s">
        <v>13</v>
      </c>
      <c r="D30" s="7">
        <f>215.46*1.05</f>
        <v>226.233</v>
      </c>
    </row>
    <row r="31" spans="1:4" ht="13.5" customHeight="1">
      <c r="A31" s="3" t="s">
        <v>309</v>
      </c>
      <c r="B31" s="6" t="s">
        <v>5</v>
      </c>
      <c r="C31" s="27" t="s">
        <v>13</v>
      </c>
      <c r="D31" s="7">
        <f>15.12*1.05</f>
        <v>15.875999999999999</v>
      </c>
    </row>
    <row r="32" spans="1:4" ht="13.5" customHeight="1">
      <c r="A32" s="3" t="s">
        <v>310</v>
      </c>
      <c r="B32" s="6" t="s">
        <v>5</v>
      </c>
      <c r="C32" s="27" t="s">
        <v>13</v>
      </c>
      <c r="D32" s="7">
        <f>37.8*1.05</f>
        <v>39.69</v>
      </c>
    </row>
    <row r="33" spans="1:4" ht="13.5" customHeight="1">
      <c r="A33" s="3" t="s">
        <v>311</v>
      </c>
      <c r="B33" s="6" t="s">
        <v>5</v>
      </c>
      <c r="C33" s="27" t="s">
        <v>13</v>
      </c>
      <c r="D33" s="7">
        <f>22.68*1.05</f>
        <v>23.814</v>
      </c>
    </row>
    <row r="34" spans="1:4" ht="13.5" customHeight="1">
      <c r="A34" s="3" t="s">
        <v>312</v>
      </c>
      <c r="B34" s="6" t="s">
        <v>5</v>
      </c>
      <c r="C34" s="27" t="s">
        <v>13</v>
      </c>
      <c r="D34" s="7">
        <f>728.03*1.05</f>
        <v>764.43150000000003</v>
      </c>
    </row>
    <row r="35" spans="1:4" ht="13.5" customHeight="1">
      <c r="A35" s="3" t="s">
        <v>313</v>
      </c>
      <c r="B35" s="6" t="s">
        <v>5</v>
      </c>
      <c r="C35" s="27" t="s">
        <v>13</v>
      </c>
      <c r="D35" s="7">
        <f>768.85*1.05</f>
        <v>807.29250000000002</v>
      </c>
    </row>
    <row r="36" spans="1:4" ht="13.5" customHeight="1">
      <c r="A36" s="3" t="s">
        <v>314</v>
      </c>
      <c r="B36" s="6" t="s">
        <v>5</v>
      </c>
      <c r="C36" s="27" t="s">
        <v>13</v>
      </c>
      <c r="D36" s="7">
        <f>21.42*1.05</f>
        <v>22.491000000000003</v>
      </c>
    </row>
    <row r="37" spans="1:4" ht="13.5" customHeight="1">
      <c r="A37" s="3" t="s">
        <v>315</v>
      </c>
      <c r="B37" s="6" t="s">
        <v>5</v>
      </c>
      <c r="C37" s="27" t="s">
        <v>13</v>
      </c>
      <c r="D37" s="7">
        <f>22.68*1.05</f>
        <v>23.814</v>
      </c>
    </row>
    <row r="38" spans="1:4" ht="13.5" customHeight="1">
      <c r="A38" s="3" t="s">
        <v>316</v>
      </c>
      <c r="B38" s="6" t="s">
        <v>5</v>
      </c>
      <c r="C38" s="27" t="s">
        <v>13</v>
      </c>
      <c r="D38" s="7">
        <f>28.98*1.05</f>
        <v>30.429000000000002</v>
      </c>
    </row>
    <row r="39" spans="1:4" ht="13.5" customHeight="1">
      <c r="A39" s="3" t="s">
        <v>317</v>
      </c>
      <c r="B39" s="6" t="s">
        <v>5</v>
      </c>
      <c r="C39" s="27" t="s">
        <v>13</v>
      </c>
      <c r="D39" s="7">
        <f>175.14*1.05</f>
        <v>183.89699999999999</v>
      </c>
    </row>
    <row r="40" spans="1:4" ht="13.5" customHeight="1">
      <c r="A40" s="3" t="s">
        <v>318</v>
      </c>
      <c r="B40" s="6" t="s">
        <v>5</v>
      </c>
      <c r="C40" s="27" t="s">
        <v>13</v>
      </c>
      <c r="D40" s="7">
        <f>134.82*1.05</f>
        <v>141.56100000000001</v>
      </c>
    </row>
    <row r="41" spans="1:4" ht="13.5" customHeight="1">
      <c r="A41" s="3" t="s">
        <v>319</v>
      </c>
      <c r="B41" s="6" t="s">
        <v>5</v>
      </c>
      <c r="C41" s="27" t="s">
        <v>13</v>
      </c>
      <c r="D41" s="7">
        <f>541.8*1.05</f>
        <v>568.89</v>
      </c>
    </row>
    <row r="42" spans="1:4" ht="13.5" customHeight="1">
      <c r="A42" s="3" t="s">
        <v>320</v>
      </c>
      <c r="B42" s="6" t="s">
        <v>5</v>
      </c>
      <c r="C42" s="27" t="s">
        <v>13</v>
      </c>
      <c r="D42" s="5">
        <f>1171.8*1.05</f>
        <v>1230.3900000000001</v>
      </c>
    </row>
    <row r="43" spans="1:4" ht="13.5" customHeight="1">
      <c r="A43" s="3" t="s">
        <v>321</v>
      </c>
      <c r="B43" s="6" t="s">
        <v>5</v>
      </c>
      <c r="C43" s="27" t="s">
        <v>13</v>
      </c>
      <c r="D43" s="5">
        <f>2494.8*1.05</f>
        <v>2619.5400000000004</v>
      </c>
    </row>
    <row r="44" spans="1:4" ht="13.5" customHeight="1">
      <c r="A44" s="3" t="s">
        <v>322</v>
      </c>
      <c r="B44" s="6" t="s">
        <v>5</v>
      </c>
      <c r="C44" s="27" t="s">
        <v>13</v>
      </c>
      <c r="D44" s="5">
        <f>1933.47*1.05</f>
        <v>2030.1435000000001</v>
      </c>
    </row>
    <row r="45" spans="1:4" ht="13.5" customHeight="1">
      <c r="A45" s="3" t="s">
        <v>323</v>
      </c>
      <c r="B45" s="6" t="s">
        <v>5</v>
      </c>
      <c r="C45" s="27" t="s">
        <v>13</v>
      </c>
      <c r="D45" s="7">
        <f>740.88*1.05</f>
        <v>777.92399999999998</v>
      </c>
    </row>
  </sheetData>
  <mergeCells count="5">
    <mergeCell ref="A11:D11"/>
    <mergeCell ref="A2:D2"/>
    <mergeCell ref="A3:B3"/>
    <mergeCell ref="A5:F5"/>
    <mergeCell ref="A6:C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ЗИПы, мембрана, Тихо, баз.плиты</vt:lpstr>
      <vt:lpstr>Подрозетники, вибросил, профиля</vt:lpstr>
      <vt:lpstr>Подвесы, Sylomer SR</vt:lpstr>
      <vt:lpstr>Виброфлекс SM, ISOTOP</vt:lpstr>
      <vt:lpstr>SOUNDBOARD, HERADESIGN, и тд</vt:lpstr>
      <vt:lpstr>Саундлюкс, Саундлайн, Акуфон</vt:lpstr>
      <vt:lpstr>панели ECOPHON</vt:lpstr>
      <vt:lpstr>подвесная система ECOPHON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20200201 - Price ok.xls</dc:title>
  <dc:creator>AG-SPb</dc:creator>
  <cp:lastModifiedBy>User</cp:lastModifiedBy>
  <dcterms:created xsi:type="dcterms:W3CDTF">2020-02-19T16:01:39Z</dcterms:created>
  <dcterms:modified xsi:type="dcterms:W3CDTF">2020-05-22T14:20:18Z</dcterms:modified>
</cp:coreProperties>
</file>